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IRR &amp; Returns" sheetId="3" state="visible" r:id="rId3"/>
    <sheet xmlns:r="http://schemas.openxmlformats.org/officeDocument/2006/relationships" name="Sensitivity" sheetId="4" state="visible" r:id="rId4"/>
    <sheet xmlns:r="http://schemas.openxmlformats.org/officeDocument/2006/relationships" name="Supplier Intel" sheetId="5" state="visible" r:id="rId5"/>
    <sheet xmlns:r="http://schemas.openxmlformats.org/officeDocument/2006/relationships" name="CapEx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00"/>
  </numFmts>
  <fonts count="29">
    <font>
      <name val="Calibri"/>
      <family val="2"/>
      <color theme="1"/>
      <sz val="11"/>
      <scheme val="minor"/>
    </font>
    <font>
      <name val="Arial"/>
      <b val="1"/>
      <color rgb="00F0C040"/>
      <sz val="18"/>
    </font>
    <font>
      <name val="Arial"/>
      <b val="1"/>
      <color rgb="00FFFFFF"/>
      <sz val="12"/>
    </font>
    <font>
      <name val="Arial"/>
      <b val="1"/>
      <color rgb="00F0C040"/>
      <sz val="11"/>
    </font>
    <font>
      <name val="Arial"/>
      <b val="1"/>
      <color rgb="000D1F33"/>
      <sz val="10"/>
    </font>
    <font>
      <name val="Arial"/>
      <sz val="10"/>
    </font>
    <font>
      <name val="Arial"/>
      <b val="1"/>
      <color rgb="00FFFFFF"/>
      <sz val="11"/>
    </font>
    <font>
      <name val="Arial"/>
      <b val="1"/>
      <color rgb="001A6B4A"/>
      <sz val="10"/>
    </font>
    <font>
      <name val="Arial"/>
      <b val="1"/>
      <color rgb="00F0C040"/>
      <sz val="13"/>
    </font>
    <font>
      <name val="Arial"/>
      <i val="1"/>
      <color rgb="00666666"/>
      <sz val="9"/>
    </font>
    <font>
      <name val="Arial"/>
      <color rgb="000D1F33"/>
      <sz val="10"/>
    </font>
    <font>
      <name val="Arial"/>
      <color rgb="000000FF"/>
      <sz val="10"/>
    </font>
    <font>
      <name val="Arial"/>
      <color rgb="00888888"/>
      <sz val="9"/>
    </font>
    <font>
      <name val="Arial"/>
      <b val="1"/>
      <color rgb="00FFFFFF"/>
      <sz val="9"/>
    </font>
    <font>
      <name val="Arial"/>
      <b val="1"/>
      <color rgb="00FFFFFF"/>
      <sz val="8"/>
    </font>
    <font>
      <name val="Arial"/>
      <color rgb="000000FF"/>
      <sz val="9"/>
    </font>
    <font>
      <name val="Arial"/>
      <sz val="9"/>
    </font>
    <font>
      <name val="Arial"/>
      <b val="1"/>
      <sz val="9"/>
    </font>
    <font>
      <name val="Arial"/>
      <b val="1"/>
      <color rgb="00000000"/>
      <sz val="11"/>
    </font>
    <font>
      <name val="Arial"/>
      <b val="1"/>
      <color rgb="00FF0000"/>
      <sz val="11"/>
    </font>
    <font>
      <name val="Arial"/>
      <b val="1"/>
      <color rgb="000A3D2B"/>
      <sz val="10"/>
    </font>
    <font>
      <name val="Arial"/>
      <b val="1"/>
      <color rgb="000D1F33"/>
      <sz val="11"/>
    </font>
    <font>
      <name val="Arial"/>
      <b val="1"/>
      <color rgb="00FFFFFF"/>
      <sz val="10"/>
    </font>
    <font>
      <name val="Arial"/>
      <i val="1"/>
      <color rgb="00444444"/>
      <sz val="9"/>
    </font>
    <font>
      <name val="Arial"/>
      <b val="1"/>
      <color rgb="00886600"/>
      <sz val="10"/>
    </font>
    <font>
      <name val="Arial"/>
      <b val="1"/>
      <color rgb="00C0392B"/>
      <sz val="10"/>
    </font>
    <font>
      <name val="Arial"/>
      <color rgb="00555555"/>
      <sz val="9"/>
    </font>
    <font>
      <name val="Arial"/>
      <i val="1"/>
      <color rgb="00555555"/>
      <sz val="9"/>
    </font>
    <font>
      <name val="Arial"/>
      <i val="1"/>
      <sz val="9"/>
    </font>
  </fonts>
  <fills count="11">
    <fill>
      <patternFill/>
    </fill>
    <fill>
      <patternFill patternType="gray125"/>
    </fill>
    <fill>
      <patternFill patternType="solid">
        <fgColor rgb="000A3D2B"/>
      </patternFill>
    </fill>
    <fill>
      <patternFill patternType="solid">
        <fgColor rgb="001A6B4A"/>
      </patternFill>
    </fill>
    <fill>
      <patternFill patternType="solid">
        <fgColor rgb="000D1F33"/>
      </patternFill>
    </fill>
    <fill>
      <patternFill patternType="solid">
        <fgColor rgb="00FFF9E6"/>
      </patternFill>
    </fill>
    <fill>
      <patternFill patternType="solid">
        <fgColor rgb="00E8F5E9"/>
      </patternFill>
    </fill>
    <fill>
      <patternFill patternType="solid">
        <fgColor rgb="008B4513"/>
      </patternFill>
    </fill>
    <fill>
      <patternFill patternType="solid">
        <fgColor rgb="00FFE4E1"/>
      </patternFill>
    </fill>
    <fill>
      <patternFill patternType="solid">
        <fgColor rgb="00FFF9C4"/>
      </patternFill>
    </fill>
    <fill>
      <patternFill patternType="solid">
        <fgColor rgb="00FDECE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/>
    </xf>
    <xf numFmtId="0" fontId="5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10" fillId="0" borderId="1" applyAlignment="1" pivotButton="0" quotePrefix="0" xfId="0">
      <alignment horizontal="left"/>
    </xf>
    <xf numFmtId="0" fontId="11" fillId="5" borderId="1" pivotButton="0" quotePrefix="0" xfId="0"/>
    <xf numFmtId="0" fontId="12" fillId="0" borderId="1" pivotButton="0" quotePrefix="0" xfId="0"/>
    <xf numFmtId="164" fontId="11" fillId="5" borderId="1" applyAlignment="1" pivotButton="0" quotePrefix="0" xfId="0">
      <alignment horizontal="right"/>
    </xf>
    <xf numFmtId="165" fontId="11" fillId="5" borderId="1" applyAlignment="1" pivotButton="0" quotePrefix="0" xfId="0">
      <alignment horizontal="right"/>
    </xf>
    <xf numFmtId="0" fontId="4" fillId="0" borderId="1" applyAlignment="1" pivotButton="0" quotePrefix="0" xfId="0">
      <alignment horizontal="left"/>
    </xf>
    <xf numFmtId="0" fontId="13" fillId="3" borderId="1" applyAlignment="1" pivotButton="0" quotePrefix="0" xfId="0">
      <alignment horizontal="center" vertical="center"/>
    </xf>
    <xf numFmtId="3" fontId="11" fillId="5" borderId="1" applyAlignment="1" pivotButton="0" quotePrefix="0" xfId="0">
      <alignment horizontal="right"/>
    </xf>
    <xf numFmtId="0" fontId="9" fillId="0" borderId="1" pivotButton="0" quotePrefix="0" xfId="0"/>
    <xf numFmtId="4" fontId="11" fillId="5" borderId="1" applyAlignment="1" pivotButton="0" quotePrefix="0" xfId="0">
      <alignment horizontal="right"/>
    </xf>
    <xf numFmtId="0" fontId="13" fillId="4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0" fontId="15" fillId="5" borderId="1" pivotButton="0" quotePrefix="0" xfId="0"/>
    <xf numFmtId="166" fontId="16" fillId="0" borderId="1" pivotButton="0" quotePrefix="0" xfId="0"/>
    <xf numFmtId="164" fontId="16" fillId="0" borderId="1" pivotButton="0" quotePrefix="0" xfId="0"/>
    <xf numFmtId="3" fontId="16" fillId="0" borderId="1" pivotButton="0" quotePrefix="0" xfId="0"/>
    <xf numFmtId="165" fontId="15" fillId="5" borderId="1" pivotButton="0" quotePrefix="0" xfId="0"/>
    <xf numFmtId="4" fontId="15" fillId="5" borderId="1" pivotButton="0" quotePrefix="0" xfId="0"/>
    <xf numFmtId="4" fontId="16" fillId="0" borderId="1" pivotButton="0" quotePrefix="0" xfId="0"/>
    <xf numFmtId="4" fontId="17" fillId="6" borderId="1" pivotButton="0" quotePrefix="0" xfId="0"/>
    <xf numFmtId="0" fontId="6" fillId="7" borderId="1" applyAlignment="1" pivotButton="0" quotePrefix="0" xfId="0">
      <alignment horizontal="center" vertical="center"/>
    </xf>
    <xf numFmtId="4" fontId="17" fillId="8" borderId="1" pivotButton="0" quotePrefix="0" xfId="0"/>
    <xf numFmtId="0" fontId="6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18" fillId="0" borderId="1" pivotButton="0" quotePrefix="0" xfId="0"/>
    <xf numFmtId="165" fontId="19" fillId="5" borderId="1" pivotButton="0" quotePrefix="0" xfId="0"/>
    <xf numFmtId="3" fontId="18" fillId="0" borderId="1" pivotButton="0" quotePrefix="0" xfId="0"/>
    <xf numFmtId="2" fontId="18" fillId="0" borderId="1" pivotButton="0" quotePrefix="0" xfId="0"/>
    <xf numFmtId="0" fontId="13" fillId="4" borderId="1" applyAlignment="1" pivotButton="0" quotePrefix="0" xfId="0">
      <alignment horizontal="center" wrapText="1"/>
    </xf>
    <xf numFmtId="0" fontId="20" fillId="6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5" fillId="9" borderId="1" applyAlignment="1" pivotButton="0" quotePrefix="0" xfId="0">
      <alignment horizontal="center"/>
    </xf>
    <xf numFmtId="0" fontId="5" fillId="6" borderId="1" applyAlignment="1" pivotButton="0" quotePrefix="0" xfId="0">
      <alignment horizontal="center"/>
    </xf>
    <xf numFmtId="0" fontId="5" fillId="10" borderId="1" applyAlignment="1" pivotButton="0" quotePrefix="0" xfId="0">
      <alignment horizontal="center"/>
    </xf>
    <xf numFmtId="0" fontId="21" fillId="0" borderId="0" pivotButton="0" quotePrefix="0" xfId="0"/>
    <xf numFmtId="0" fontId="6" fillId="3" borderId="0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22" fillId="3" borderId="1" pivotButton="0" quotePrefix="0" xfId="0"/>
    <xf numFmtId="0" fontId="5" fillId="0" borderId="1" pivotButton="0" quotePrefix="0" xfId="0"/>
    <xf numFmtId="0" fontId="11" fillId="5" borderId="1" applyAlignment="1" pivotButton="0" quotePrefix="0" xfId="0">
      <alignment horizontal="right"/>
    </xf>
    <xf numFmtId="0" fontId="20" fillId="0" borderId="1" applyAlignment="1" pivotButton="0" quotePrefix="0" xfId="0">
      <alignment horizontal="center"/>
    </xf>
    <xf numFmtId="0" fontId="23" fillId="0" borderId="1" pivotButton="0" quotePrefix="0" xfId="0"/>
    <xf numFmtId="0" fontId="24" fillId="0" borderId="1" applyAlignment="1" pivotButton="0" quotePrefix="0" xfId="0">
      <alignment horizontal="center"/>
    </xf>
    <xf numFmtId="0" fontId="25" fillId="0" borderId="1" applyAlignment="1" pivotButton="0" quotePrefix="0" xfId="0">
      <alignment horizontal="center"/>
    </xf>
    <xf numFmtId="0" fontId="6" fillId="4" borderId="0" applyAlignment="1" pivotButton="0" quotePrefix="0" xfId="0">
      <alignment horizontal="center" vertical="center"/>
    </xf>
    <xf numFmtId="0" fontId="3" fillId="4" borderId="0" pivotButton="0" quotePrefix="0" xfId="0"/>
    <xf numFmtId="0" fontId="20" fillId="0" borderId="0" pivotButton="0" quotePrefix="0" xfId="0"/>
    <xf numFmtId="0" fontId="26" fillId="0" borderId="1" pivotButton="0" quotePrefix="0" xfId="0"/>
    <xf numFmtId="4" fontId="11" fillId="5" borderId="1" pivotButton="0" quotePrefix="0" xfId="0"/>
    <xf numFmtId="165" fontId="26" fillId="0" borderId="1" pivotButton="0" quotePrefix="0" xfId="0"/>
    <xf numFmtId="0" fontId="27" fillId="0" borderId="1" pivotButton="0" quotePrefix="0" xfId="0"/>
    <xf numFmtId="4" fontId="25" fillId="0" borderId="1" pivotButton="0" quotePrefix="0" xfId="0"/>
    <xf numFmtId="0" fontId="3" fillId="2" borderId="1" applyAlignment="1" pivotButton="0" quotePrefix="0" xfId="0">
      <alignment horizontal="center" vertical="center"/>
    </xf>
    <xf numFmtId="4" fontId="2" fillId="2" borderId="1" pivotButton="0" quotePrefix="0" xfId="0"/>
    <xf numFmtId="0" fontId="2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30" customWidth="1" min="3" max="3"/>
  </cols>
  <sheetData>
    <row r="2" ht="40" customHeight="1">
      <c r="B2" s="1" t="inlineStr">
        <is>
          <t>BESS PROJECT FINANCIAL MODEL</t>
        </is>
      </c>
    </row>
    <row r="3">
      <c r="B3" s="2" t="inlineStr">
        <is>
          <t>Battery Energy Storage System — IRR &amp; Investment Analysis</t>
        </is>
      </c>
    </row>
    <row r="4">
      <c r="B4" s="3" t="inlineStr">
        <is>
          <t>Shaurya Solar &amp; BESS | Pac Energy</t>
        </is>
      </c>
    </row>
    <row r="6">
      <c r="B6" s="4" t="inlineStr">
        <is>
          <t>Model Version</t>
        </is>
      </c>
      <c r="C6" s="5" t="inlineStr">
        <is>
          <t>v1.0 — April 2026</t>
        </is>
      </c>
    </row>
    <row r="7">
      <c r="B7" s="4" t="inlineStr">
        <is>
          <t>Prepared By</t>
        </is>
      </c>
      <c r="C7" s="5" t="inlineStr">
        <is>
          <t>Shaurya Handa, Director — Pac Energy</t>
        </is>
      </c>
    </row>
    <row r="8">
      <c r="B8" s="4" t="inlineStr">
        <is>
          <t>Project Type</t>
        </is>
      </c>
      <c r="C8" s="5" t="inlineStr">
        <is>
          <t>Grid-Scale BESS (LFP Chemistry)</t>
        </is>
      </c>
    </row>
    <row r="9">
      <c r="B9" s="4" t="inlineStr">
        <is>
          <t>Model Currency</t>
        </is>
      </c>
      <c r="C9" s="5" t="inlineStr">
        <is>
          <t>Indian Rupees (Rs Lakhs unless stated)</t>
        </is>
      </c>
    </row>
    <row r="10">
      <c r="B10" s="4" t="inlineStr">
        <is>
          <t>Project Life</t>
        </is>
      </c>
      <c r="C10" s="5" t="inlineStr">
        <is>
          <t>20 Years</t>
        </is>
      </c>
    </row>
    <row r="11">
      <c r="B11" s="4" t="inlineStr">
        <is>
          <t>Base Year</t>
        </is>
      </c>
      <c r="C11" s="5" t="inlineStr">
        <is>
          <t>2026</t>
        </is>
      </c>
    </row>
    <row r="12">
      <c r="B12" s="4" t="inlineStr">
        <is>
          <t>Last Updated</t>
        </is>
      </c>
      <c r="C12" s="5" t="inlineStr">
        <is>
          <t>April 2026</t>
        </is>
      </c>
    </row>
    <row r="14">
      <c r="B14" s="6" t="inlineStr">
        <is>
          <t>SHEET INDEX</t>
        </is>
      </c>
    </row>
    <row r="15">
      <c r="B15" s="7" t="inlineStr">
        <is>
          <t>Assumptions</t>
        </is>
      </c>
      <c r="C15" s="5" t="inlineStr">
        <is>
          <t>All project inputs and key assumptions</t>
        </is>
      </c>
    </row>
    <row r="16">
      <c r="B16" s="7" t="inlineStr">
        <is>
          <t>CapEx</t>
        </is>
      </c>
      <c r="C16" s="5" t="inlineStr">
        <is>
          <t>Capital expenditure breakdown</t>
        </is>
      </c>
    </row>
    <row r="17">
      <c r="B17" s="7" t="inlineStr">
        <is>
          <t>Revenue</t>
        </is>
      </c>
      <c r="C17" s="5" t="inlineStr">
        <is>
          <t>Revenue model — energy arbitrage + ancillary</t>
        </is>
      </c>
    </row>
    <row r="18">
      <c r="B18" s="7" t="inlineStr">
        <is>
          <t>OpEx</t>
        </is>
      </c>
      <c r="C18" s="5" t="inlineStr">
        <is>
          <t>Operating expenditure — O&amp;M, insurance, mgmt</t>
        </is>
      </c>
    </row>
    <row r="19">
      <c r="B19" s="7" t="inlineStr">
        <is>
          <t>Debt Service</t>
        </is>
      </c>
      <c r="C19" s="5" t="inlineStr">
        <is>
          <t>Loan drawdown, repayment, interest schedule</t>
        </is>
      </c>
    </row>
    <row r="20">
      <c r="B20" s="7" t="inlineStr">
        <is>
          <t>P&amp;L</t>
        </is>
      </c>
      <c r="C20" s="5" t="inlineStr">
        <is>
          <t>Profit &amp; Loss — 20 year projection</t>
        </is>
      </c>
    </row>
    <row r="21">
      <c r="B21" s="7" t="inlineStr">
        <is>
          <t>Cash Flow</t>
        </is>
      </c>
      <c r="C21" s="5" t="inlineStr">
        <is>
          <t>Project cash flow and DSCR</t>
        </is>
      </c>
    </row>
    <row r="22">
      <c r="B22" s="7" t="inlineStr">
        <is>
          <t>IRR &amp; Returns</t>
        </is>
      </c>
      <c r="C22" s="5" t="inlineStr">
        <is>
          <t>IRR, NPV, Payback, Equity returns</t>
        </is>
      </c>
    </row>
    <row r="23">
      <c r="B23" s="7" t="inlineStr">
        <is>
          <t>Sensitivity</t>
        </is>
      </c>
      <c r="C23" s="5" t="inlineStr">
        <is>
          <t>Sensitivity analysis — tariff, CapEx, degradation</t>
        </is>
      </c>
    </row>
    <row r="24">
      <c r="B24" s="7" t="inlineStr">
        <is>
          <t>Supplier Intel</t>
        </is>
      </c>
      <c r="C24" s="5" t="inlineStr">
        <is>
          <t>Raw material costs &amp; procurement intelligence</t>
        </is>
      </c>
    </row>
  </sheetData>
  <mergeCells count="4">
    <mergeCell ref="B14:E14"/>
    <mergeCell ref="B3:E3"/>
    <mergeCell ref="B2:E2"/>
    <mergeCell ref="B4:E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E5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8" customWidth="1" min="3" max="3"/>
    <col width="12" customWidth="1" min="4" max="4"/>
    <col width="35" customWidth="1" min="5" max="5"/>
  </cols>
  <sheetData>
    <row r="1" ht="30" customHeight="1">
      <c r="B1" s="8" t="inlineStr">
        <is>
          <t>BESS PROJECT — KEY ASSUMPTIONS</t>
        </is>
      </c>
    </row>
    <row r="2">
      <c r="B2" s="9" t="inlineStr">
        <is>
          <t>Blue cells = inputs you can change | Yellow background = key assumptions</t>
        </is>
      </c>
    </row>
    <row r="4" ht="22" customHeight="1">
      <c r="B4" s="10" t="inlineStr">
        <is>
          <t>A. PROJECT OVERVIEW</t>
        </is>
      </c>
      <c r="C4" s="11" t="n"/>
      <c r="D4" s="11" t="n"/>
      <c r="E4" s="11" t="n"/>
    </row>
    <row r="5">
      <c r="B5" s="12" t="inlineStr">
        <is>
          <t>Project Name</t>
        </is>
      </c>
      <c r="C5" s="13" t="inlineStr">
        <is>
          <t>Pac Energy BESS Project</t>
        </is>
      </c>
      <c r="D5" s="14" t="inlineStr">
        <is>
          <t>text</t>
        </is>
      </c>
      <c r="E5" s="11" t="n"/>
    </row>
    <row r="6">
      <c r="B6" s="12" t="inlineStr">
        <is>
          <t>Project Location</t>
        </is>
      </c>
      <c r="C6" s="13" t="inlineStr">
        <is>
          <t>Surat, Gujarat</t>
        </is>
      </c>
      <c r="D6" s="14" t="inlineStr">
        <is>
          <t>text</t>
        </is>
      </c>
      <c r="E6" s="11" t="n"/>
    </row>
    <row r="7">
      <c r="B7" s="12" t="inlineStr">
        <is>
          <t>Project Developer</t>
        </is>
      </c>
      <c r="C7" s="13" t="inlineStr">
        <is>
          <t>Pac Energy / Pac Solar</t>
        </is>
      </c>
      <c r="D7" s="14" t="inlineStr">
        <is>
          <t>text</t>
        </is>
      </c>
      <c r="E7" s="11" t="n"/>
    </row>
    <row r="8">
      <c r="B8" s="12" t="inlineStr">
        <is>
          <t>BESS Chemistry</t>
        </is>
      </c>
      <c r="C8" s="13" t="inlineStr">
        <is>
          <t>LFP (Lithium Iron Phosphate)</t>
        </is>
      </c>
      <c r="D8" s="14" t="inlineStr">
        <is>
          <t>text</t>
        </is>
      </c>
      <c r="E8" s="11" t="n"/>
    </row>
    <row r="9">
      <c r="B9" s="12" t="inlineStr">
        <is>
          <t>Installed Capacity</t>
        </is>
      </c>
      <c r="C9" s="15" t="n">
        <v>10</v>
      </c>
      <c r="D9" s="14" t="inlineStr">
        <is>
          <t>MWh</t>
        </is>
      </c>
      <c r="E9" s="11" t="n"/>
    </row>
    <row r="10">
      <c r="B10" s="12" t="inlineStr">
        <is>
          <t>Power Rating</t>
        </is>
      </c>
      <c r="C10" s="15" t="n">
        <v>5</v>
      </c>
      <c r="D10" s="14" t="inlineStr">
        <is>
          <t>MW</t>
        </is>
      </c>
      <c r="E10" s="11" t="n"/>
    </row>
    <row r="11">
      <c r="B11" s="12" t="inlineStr">
        <is>
          <t>Duration (hrs)</t>
        </is>
      </c>
      <c r="C11" s="15" t="n">
        <v>2</v>
      </c>
      <c r="D11" s="14" t="inlineStr">
        <is>
          <t>hours</t>
        </is>
      </c>
      <c r="E11" s="11" t="n"/>
    </row>
    <row r="12">
      <c r="B12" s="12" t="inlineStr">
        <is>
          <t>Number of Cycles/Day</t>
        </is>
      </c>
      <c r="C12" s="15" t="n">
        <v>2</v>
      </c>
      <c r="D12" s="14" t="inlineStr">
        <is>
          <t>cycles</t>
        </is>
      </c>
      <c r="E12" s="11" t="n"/>
    </row>
    <row r="13">
      <c r="B13" s="12" t="inlineStr">
        <is>
          <t>Project Life</t>
        </is>
      </c>
      <c r="C13" s="15" t="n">
        <v>20</v>
      </c>
      <c r="D13" s="14" t="inlineStr">
        <is>
          <t>years</t>
        </is>
      </c>
      <c r="E13" s="11" t="n"/>
    </row>
    <row r="14">
      <c r="B14" s="12" t="inlineStr">
        <is>
          <t>COD (Commercial Op)</t>
        </is>
      </c>
      <c r="C14" s="15" t="n">
        <v>2026</v>
      </c>
      <c r="D14" s="14" t="inlineStr">
        <is>
          <t>year</t>
        </is>
      </c>
      <c r="E14" s="11" t="n"/>
    </row>
    <row r="15">
      <c r="B15" s="12" t="inlineStr">
        <is>
          <t>Degradation/Year</t>
        </is>
      </c>
      <c r="C15" s="16" t="n">
        <v>0.02</v>
      </c>
      <c r="D15" s="14" t="inlineStr">
        <is>
          <t>%</t>
        </is>
      </c>
      <c r="E15" s="11" t="n"/>
    </row>
    <row r="16">
      <c r="B16" s="12" t="inlineStr">
        <is>
          <t>Round Trip Efficiency</t>
        </is>
      </c>
      <c r="C16" s="16" t="n">
        <v>0.88</v>
      </c>
      <c r="D16" s="14" t="inlineStr">
        <is>
          <t>%</t>
        </is>
      </c>
      <c r="E16" s="11" t="n"/>
    </row>
    <row r="17">
      <c r="B17" s="12" t="inlineStr">
        <is>
          <t>Availability Factor</t>
        </is>
      </c>
      <c r="C17" s="16" t="n">
        <v>0.97</v>
      </c>
      <c r="D17" s="14" t="inlineStr">
        <is>
          <t>%</t>
        </is>
      </c>
      <c r="E17" s="11" t="n"/>
    </row>
    <row r="18">
      <c r="B18" s="11" t="n"/>
      <c r="C18" s="11" t="n"/>
      <c r="D18" s="11" t="n"/>
      <c r="E18" s="11" t="n"/>
    </row>
    <row r="19">
      <c r="B19" s="11" t="n"/>
      <c r="C19" s="11" t="n"/>
      <c r="D19" s="11" t="n"/>
      <c r="E19" s="11" t="n"/>
    </row>
    <row r="20" ht="22" customHeight="1">
      <c r="B20" s="10" t="inlineStr">
        <is>
          <t>B. CAPITAL EXPENDITURE (Rs Lakhs)</t>
        </is>
      </c>
      <c r="C20" s="11" t="n"/>
      <c r="D20" s="11" t="n"/>
      <c r="E20" s="11" t="n"/>
    </row>
    <row r="21">
      <c r="B21" s="17" t="inlineStr">
        <is>
          <t>Item</t>
        </is>
      </c>
      <c r="C21" s="18" t="inlineStr">
        <is>
          <t>Unit</t>
        </is>
      </c>
      <c r="D21" s="18" t="inlineStr">
        <is>
          <t>Value</t>
        </is>
      </c>
      <c r="E21" s="18" t="inlineStr">
        <is>
          <t>Note</t>
        </is>
      </c>
    </row>
    <row r="22">
      <c r="B22" s="12" t="inlineStr">
        <is>
          <t xml:space="preserve">  Battery Cells (LFP)</t>
        </is>
      </c>
      <c r="C22" s="14" t="inlineStr">
        <is>
          <t>Rs/kWh</t>
        </is>
      </c>
      <c r="D22" s="19" t="n">
        <v>1800</v>
      </c>
      <c r="E22" s="20" t="inlineStr">
        <is>
          <t>LFP cells landed cost incl. BCD</t>
        </is>
      </c>
    </row>
    <row r="23">
      <c r="B23" s="12" t="inlineStr">
        <is>
          <t xml:space="preserve">  Battery Management System</t>
        </is>
      </c>
      <c r="C23" s="14" t="inlineStr">
        <is>
          <t>Rs/kWh</t>
        </is>
      </c>
      <c r="D23" s="19" t="n">
        <v>200</v>
      </c>
      <c r="E23" s="20" t="inlineStr">
        <is>
          <t>BMS hardware + software</t>
        </is>
      </c>
    </row>
    <row r="24">
      <c r="B24" s="12" t="inlineStr">
        <is>
          <t xml:space="preserve">  PCS / Inverter</t>
        </is>
      </c>
      <c r="C24" s="14" t="inlineStr">
        <is>
          <t>Rs/kWh</t>
        </is>
      </c>
      <c r="D24" s="19" t="n">
        <v>300</v>
      </c>
      <c r="E24" s="20" t="inlineStr">
        <is>
          <t>Power Conversion System</t>
        </is>
      </c>
    </row>
    <row r="25">
      <c r="B25" s="12" t="inlineStr">
        <is>
          <t xml:space="preserve">  EMS / SCADA</t>
        </is>
      </c>
      <c r="C25" s="14" t="inlineStr">
        <is>
          <t>Rs Lakhs</t>
        </is>
      </c>
      <c r="D25" s="19" t="n">
        <v>25</v>
      </c>
      <c r="E25" s="20" t="inlineStr">
        <is>
          <t>Energy Management System</t>
        </is>
      </c>
    </row>
    <row r="26">
      <c r="B26" s="12" t="inlineStr">
        <is>
          <t xml:space="preserve">  Civil &amp; Structural</t>
        </is>
      </c>
      <c r="C26" s="14" t="inlineStr">
        <is>
          <t>Rs Lakhs</t>
        </is>
      </c>
      <c r="D26" s="19" t="n">
        <v>40</v>
      </c>
      <c r="E26" s="20" t="inlineStr">
        <is>
          <t>Foundation, enclosure</t>
        </is>
      </c>
    </row>
    <row r="27">
      <c r="B27" s="12" t="inlineStr">
        <is>
          <t xml:space="preserve">  Electrical Balance</t>
        </is>
      </c>
      <c r="C27" s="14" t="inlineStr">
        <is>
          <t>Rs Lakhs</t>
        </is>
      </c>
      <c r="D27" s="19" t="n">
        <v>30</v>
      </c>
      <c r="E27" s="20" t="inlineStr">
        <is>
          <t>Cables, switchgear, transformers</t>
        </is>
      </c>
    </row>
    <row r="28">
      <c r="B28" s="12" t="inlineStr">
        <is>
          <t xml:space="preserve">  Grid Connection</t>
        </is>
      </c>
      <c r="C28" s="14" t="inlineStr">
        <is>
          <t>Rs Lakhs</t>
        </is>
      </c>
      <c r="D28" s="19" t="n">
        <v>50</v>
      </c>
      <c r="E28" s="20" t="inlineStr">
        <is>
          <t>SLDC approval, metering, line</t>
        </is>
      </c>
    </row>
    <row r="29">
      <c r="B29" s="12" t="inlineStr">
        <is>
          <t xml:space="preserve">  Testing &amp; Commissioning</t>
        </is>
      </c>
      <c r="C29" s="14" t="inlineStr">
        <is>
          <t>Rs Lakhs</t>
        </is>
      </c>
      <c r="D29" s="19" t="n">
        <v>15</v>
      </c>
      <c r="E29" s="20" t="inlineStr">
        <is>
          <t>FAT, SAT, commissioning</t>
        </is>
      </c>
    </row>
    <row r="30">
      <c r="B30" s="12" t="inlineStr">
        <is>
          <t xml:space="preserve">  Project Dev &amp; Legal</t>
        </is>
      </c>
      <c r="C30" s="14" t="inlineStr">
        <is>
          <t>Rs Lakhs</t>
        </is>
      </c>
      <c r="D30" s="19" t="n">
        <v>10</v>
      </c>
      <c r="E30" s="20" t="inlineStr">
        <is>
          <t>PPA, land, approvals</t>
        </is>
      </c>
    </row>
    <row r="31">
      <c r="B31" s="12" t="inlineStr">
        <is>
          <t xml:space="preserve">  Contingency</t>
        </is>
      </c>
      <c r="C31" s="14" t="inlineStr">
        <is>
          <t>%CapEx</t>
        </is>
      </c>
      <c r="D31" s="19" t="n">
        <v>0.05</v>
      </c>
      <c r="E31" s="20" t="inlineStr">
        <is>
          <t>5% of total CapEx</t>
        </is>
      </c>
    </row>
    <row r="32">
      <c r="B32" s="11" t="n"/>
      <c r="C32" s="11" t="n"/>
      <c r="D32" s="11" t="n"/>
      <c r="E32" s="11" t="n"/>
    </row>
    <row r="33" ht="22" customHeight="1">
      <c r="B33" s="10" t="inlineStr">
        <is>
          <t>C. REVENUE ASSUMPTIONS</t>
        </is>
      </c>
      <c r="C33" s="11" t="n"/>
      <c r="D33" s="11" t="n"/>
      <c r="E33" s="11" t="n"/>
    </row>
    <row r="34">
      <c r="B34" s="12" t="inlineStr">
        <is>
          <t xml:space="preserve">  Energy Arbitrage Tariff</t>
        </is>
      </c>
      <c r="C34" s="14" t="inlineStr">
        <is>
          <t>Rs/kWh</t>
        </is>
      </c>
      <c r="D34" s="21" t="n">
        <v>5.5</v>
      </c>
      <c r="E34" s="20" t="inlineStr">
        <is>
          <t>Peak-offpeak spread</t>
        </is>
      </c>
    </row>
    <row r="35">
      <c r="B35" s="12" t="inlineStr">
        <is>
          <t xml:space="preserve">  Ancillary Services Revenue</t>
        </is>
      </c>
      <c r="C35" s="14" t="inlineStr">
        <is>
          <t>Rs/kWh</t>
        </is>
      </c>
      <c r="D35" s="21" t="n">
        <v>0.8</v>
      </c>
      <c r="E35" s="20" t="inlineStr">
        <is>
          <t>Frequency regulation, reserves</t>
        </is>
      </c>
    </row>
    <row r="36">
      <c r="B36" s="12" t="inlineStr">
        <is>
          <t xml:space="preserve">  Capacity Charge</t>
        </is>
      </c>
      <c r="C36" s="14" t="inlineStr">
        <is>
          <t>Rs/kW/month</t>
        </is>
      </c>
      <c r="D36" s="21" t="n">
        <v>0</v>
      </c>
      <c r="E36" s="20" t="inlineStr">
        <is>
          <t>If applicable under PPA</t>
        </is>
      </c>
    </row>
    <row r="37">
      <c r="B37" s="12" t="inlineStr">
        <is>
          <t xml:space="preserve">  Annual Tariff Escalation</t>
        </is>
      </c>
      <c r="C37" s="14" t="inlineStr">
        <is>
          <t>%</t>
        </is>
      </c>
      <c r="D37" s="16" t="n">
        <v>0.03</v>
      </c>
      <c r="E37" s="20" t="inlineStr">
        <is>
          <t>3% per year</t>
        </is>
      </c>
    </row>
    <row r="38">
      <c r="B38" s="12" t="inlineStr">
        <is>
          <t xml:space="preserve">  Operating Days/Year</t>
        </is>
      </c>
      <c r="C38" s="14" t="inlineStr">
        <is>
          <t>days</t>
        </is>
      </c>
      <c r="D38" s="21" t="n">
        <v>350</v>
      </c>
      <c r="E38" s="20" t="inlineStr">
        <is>
          <t>Excluding maintenance shutdowns</t>
        </is>
      </c>
    </row>
    <row r="39">
      <c r="B39" s="11" t="n"/>
      <c r="C39" s="11" t="n"/>
      <c r="D39" s="11" t="n"/>
      <c r="E39" s="11" t="n"/>
    </row>
    <row r="40" ht="22" customHeight="1">
      <c r="B40" s="10" t="inlineStr">
        <is>
          <t>D. OPERATING EXPENDITURE</t>
        </is>
      </c>
      <c r="C40" s="11" t="n"/>
      <c r="D40" s="11" t="n"/>
      <c r="E40" s="11" t="n"/>
    </row>
    <row r="41">
      <c r="B41" s="12" t="inlineStr">
        <is>
          <t xml:space="preserve">  O&amp;M Cost (Year 1)</t>
        </is>
      </c>
      <c r="C41" s="14" t="inlineStr">
        <is>
          <t>Rs Lakhs/yr</t>
        </is>
      </c>
      <c r="D41" s="15" t="n">
        <v>15</v>
      </c>
      <c r="E41" s="20" t="inlineStr">
        <is>
          <t>Preventive + corrective maintenance</t>
        </is>
      </c>
    </row>
    <row r="42">
      <c r="B42" s="12" t="inlineStr">
        <is>
          <t xml:space="preserve">  O&amp;M Escalation</t>
        </is>
      </c>
      <c r="C42" s="14" t="inlineStr">
        <is>
          <t>%</t>
        </is>
      </c>
      <c r="D42" s="16" t="n">
        <v>0.05</v>
      </c>
      <c r="E42" s="20" t="inlineStr">
        <is>
          <t>5% per year</t>
        </is>
      </c>
    </row>
    <row r="43">
      <c r="B43" s="12" t="inlineStr">
        <is>
          <t xml:space="preserve">  Insurance</t>
        </is>
      </c>
      <c r="C43" s="14" t="inlineStr">
        <is>
          <t>Rs Lakhs/yr</t>
        </is>
      </c>
      <c r="D43" s="15" t="n">
        <v>5</v>
      </c>
      <c r="E43" s="20" t="inlineStr">
        <is>
          <t>Asset + liability insurance</t>
        </is>
      </c>
    </row>
    <row r="44">
      <c r="B44" s="12" t="inlineStr">
        <is>
          <t xml:space="preserve">  Land Lease / Rent</t>
        </is>
      </c>
      <c r="C44" s="14" t="inlineStr">
        <is>
          <t>Rs Lakhs/yr</t>
        </is>
      </c>
      <c r="D44" s="15" t="n">
        <v>3</v>
      </c>
      <c r="E44" s="20" t="inlineStr">
        <is>
          <t>If applicable</t>
        </is>
      </c>
    </row>
    <row r="45">
      <c r="B45" s="12" t="inlineStr">
        <is>
          <t xml:space="preserve">  Management Fee</t>
        </is>
      </c>
      <c r="C45" s="14" t="inlineStr">
        <is>
          <t>Rs Lakhs/yr</t>
        </is>
      </c>
      <c r="D45" s="15" t="n">
        <v>2</v>
      </c>
      <c r="E45" s="20" t="inlineStr">
        <is>
          <t>Admin overhead</t>
        </is>
      </c>
    </row>
    <row r="46">
      <c r="B46" s="12" t="inlineStr">
        <is>
          <t xml:space="preserve">  Battery Replacement Reserve</t>
        </is>
      </c>
      <c r="C46" s="14" t="inlineStr">
        <is>
          <t>%CapEx/yr</t>
        </is>
      </c>
      <c r="D46" s="16" t="n">
        <v>0.02</v>
      </c>
      <c r="E46" s="20" t="inlineStr">
        <is>
          <t>Sinking fund for cell replacement Yr10</t>
        </is>
      </c>
    </row>
    <row r="47">
      <c r="B47" s="11" t="n"/>
      <c r="C47" s="11" t="n"/>
      <c r="D47" s="11" t="n"/>
      <c r="E47" s="11" t="n"/>
    </row>
    <row r="48" ht="22" customHeight="1">
      <c r="B48" s="10" t="inlineStr">
        <is>
          <t>E. FINANCING STRUCTURE</t>
        </is>
      </c>
      <c r="C48" s="11" t="n"/>
      <c r="D48" s="11" t="n"/>
      <c r="E48" s="11" t="n"/>
    </row>
    <row r="49">
      <c r="B49" s="12" t="inlineStr">
        <is>
          <t xml:space="preserve">  Debt : Equity Ratio</t>
        </is>
      </c>
      <c r="C49" s="14" t="inlineStr">
        <is>
          <t>%</t>
        </is>
      </c>
      <c r="D49" s="16" t="n">
        <v>0.7</v>
      </c>
      <c r="E49" s="20" t="inlineStr">
        <is>
          <t>70% debt, 30% equity</t>
        </is>
      </c>
    </row>
    <row r="50">
      <c r="B50" s="12" t="inlineStr">
        <is>
          <t xml:space="preserve">  Loan Interest Rate</t>
        </is>
      </c>
      <c r="C50" s="14" t="inlineStr">
        <is>
          <t>%</t>
        </is>
      </c>
      <c r="D50" s="16" t="n">
        <v>0.1</v>
      </c>
      <c r="E50" s="20" t="inlineStr">
        <is>
          <t>10% p.a. (term loan)</t>
        </is>
      </c>
    </row>
    <row r="51">
      <c r="B51" s="12" t="inlineStr">
        <is>
          <t xml:space="preserve">  Loan Tenure</t>
        </is>
      </c>
      <c r="C51" s="14" t="inlineStr">
        <is>
          <t>years</t>
        </is>
      </c>
      <c r="D51" s="15" t="n">
        <v>12</v>
      </c>
      <c r="E51" s="20" t="inlineStr">
        <is>
          <t>Including moratorium</t>
        </is>
      </c>
    </row>
    <row r="52">
      <c r="B52" s="12" t="inlineStr">
        <is>
          <t xml:space="preserve">  Moratorium Period</t>
        </is>
      </c>
      <c r="C52" s="14" t="inlineStr">
        <is>
          <t>years</t>
        </is>
      </c>
      <c r="D52" s="15" t="n">
        <v>1</v>
      </c>
      <c r="E52" s="20" t="inlineStr">
        <is>
          <t>Interest only during construction</t>
        </is>
      </c>
    </row>
    <row r="53">
      <c r="B53" s="12" t="inlineStr">
        <is>
          <t xml:space="preserve">  DSCR Requirement</t>
        </is>
      </c>
      <c r="C53" s="14" t="inlineStr">
        <is>
          <t>x</t>
        </is>
      </c>
      <c r="D53" s="15" t="n">
        <v>1.25</v>
      </c>
      <c r="E53" s="20" t="inlineStr">
        <is>
          <t>Min DSCR covenant</t>
        </is>
      </c>
    </row>
    <row r="54">
      <c r="B54" s="12" t="inlineStr">
        <is>
          <t xml:space="preserve">  Equity IRR Target</t>
        </is>
      </c>
      <c r="C54" s="14" t="inlineStr">
        <is>
          <t>%</t>
        </is>
      </c>
      <c r="D54" s="16" t="n">
        <v>0.18</v>
      </c>
      <c r="E54" s="20" t="inlineStr">
        <is>
          <t>18% hurdle rate</t>
        </is>
      </c>
    </row>
    <row r="55">
      <c r="B55" s="12" t="inlineStr">
        <is>
          <t xml:space="preserve">  Discount Rate (WACC)</t>
        </is>
      </c>
      <c r="C55" s="14" t="inlineStr">
        <is>
          <t>%</t>
        </is>
      </c>
      <c r="D55" s="16" t="n">
        <v>0.12</v>
      </c>
      <c r="E55" s="20" t="inlineStr">
        <is>
          <t>For NPV calculation</t>
        </is>
      </c>
    </row>
    <row r="56">
      <c r="B56" s="12" t="inlineStr">
        <is>
          <t xml:space="preserve">  Tax Rate</t>
        </is>
      </c>
      <c r="C56" s="14" t="inlineStr">
        <is>
          <t>%</t>
        </is>
      </c>
      <c r="D56" s="16" t="n">
        <v>0.25</v>
      </c>
      <c r="E56" s="20" t="inlineStr">
        <is>
          <t>Corporate tax + surcharge</t>
        </is>
      </c>
    </row>
    <row r="57">
      <c r="B57" s="12" t="inlineStr">
        <is>
          <t xml:space="preserve">  Depreciation Method</t>
        </is>
      </c>
      <c r="C57" s="14" t="inlineStr"/>
      <c r="D57" s="13" t="inlineStr">
        <is>
          <t>SLM</t>
        </is>
      </c>
      <c r="E57" s="20" t="inlineStr">
        <is>
          <t>Straight Line Method</t>
        </is>
      </c>
    </row>
    <row r="58">
      <c r="B58" s="12" t="inlineStr">
        <is>
          <t xml:space="preserve">  Depreciation Rate</t>
        </is>
      </c>
      <c r="C58" s="14" t="inlineStr">
        <is>
          <t>%</t>
        </is>
      </c>
      <c r="D58" s="16" t="n">
        <v>0.05</v>
      </c>
      <c r="E58" s="20" t="inlineStr">
        <is>
          <t>5% per year on plant &amp; machinery</t>
        </is>
      </c>
    </row>
    <row r="59">
      <c r="B59" s="11" t="n"/>
      <c r="C59" s="11" t="n"/>
      <c r="D59" s="11" t="n"/>
      <c r="E59" s="11" t="n"/>
    </row>
  </sheetData>
  <mergeCells count="6">
    <mergeCell ref="B40:E40"/>
    <mergeCell ref="B1:E1"/>
    <mergeCell ref="B4:E4"/>
    <mergeCell ref="B48:E48"/>
    <mergeCell ref="B33:E33"/>
    <mergeCell ref="B20:E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W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</cols>
  <sheetData>
    <row r="1" ht="28" customHeight="1">
      <c r="B1" s="8" t="inlineStr">
        <is>
          <t>BESS PROJECT — 20 YEAR CASH FLOW &amp; IRR MODEL</t>
        </is>
      </c>
    </row>
    <row r="2">
      <c r="B2" s="22" t="inlineStr">
        <is>
          <t>Rs Lakhs (unless stated)</t>
        </is>
      </c>
      <c r="C2" s="22" t="inlineStr">
        <is>
          <t>2026</t>
        </is>
      </c>
      <c r="D2" s="22" t="inlineStr">
        <is>
          <t>2027</t>
        </is>
      </c>
      <c r="E2" s="22" t="inlineStr">
        <is>
          <t>2028</t>
        </is>
      </c>
      <c r="F2" s="22" t="inlineStr">
        <is>
          <t>2029</t>
        </is>
      </c>
      <c r="G2" s="22" t="inlineStr">
        <is>
          <t>2030</t>
        </is>
      </c>
      <c r="H2" s="22" t="inlineStr">
        <is>
          <t>2031</t>
        </is>
      </c>
      <c r="I2" s="22" t="inlineStr">
        <is>
          <t>2032</t>
        </is>
      </c>
      <c r="J2" s="22" t="inlineStr">
        <is>
          <t>2033</t>
        </is>
      </c>
      <c r="K2" s="22" t="inlineStr">
        <is>
          <t>2034</t>
        </is>
      </c>
      <c r="L2" s="22" t="inlineStr">
        <is>
          <t>2035</t>
        </is>
      </c>
      <c r="M2" s="22" t="inlineStr">
        <is>
          <t>2036</t>
        </is>
      </c>
      <c r="N2" s="22" t="inlineStr">
        <is>
          <t>2037</t>
        </is>
      </c>
      <c r="O2" s="22" t="inlineStr">
        <is>
          <t>2038</t>
        </is>
      </c>
      <c r="P2" s="22" t="inlineStr">
        <is>
          <t>2039</t>
        </is>
      </c>
      <c r="Q2" s="22" t="inlineStr">
        <is>
          <t>2040</t>
        </is>
      </c>
      <c r="R2" s="22" t="inlineStr">
        <is>
          <t>2041</t>
        </is>
      </c>
      <c r="S2" s="22" t="inlineStr">
        <is>
          <t>2042</t>
        </is>
      </c>
      <c r="T2" s="22" t="inlineStr">
        <is>
          <t>2043</t>
        </is>
      </c>
      <c r="U2" s="22" t="inlineStr">
        <is>
          <t>2044</t>
        </is>
      </c>
      <c r="V2" s="22" t="inlineStr">
        <is>
          <t>2045</t>
        </is>
      </c>
    </row>
    <row r="3">
      <c r="C3" s="23" t="inlineStr">
        <is>
          <t>Yr 1</t>
        </is>
      </c>
      <c r="D3" s="23" t="inlineStr">
        <is>
          <t>Yr 2</t>
        </is>
      </c>
      <c r="E3" s="23" t="inlineStr">
        <is>
          <t>Yr 3</t>
        </is>
      </c>
      <c r="F3" s="23" t="inlineStr">
        <is>
          <t>Yr 4</t>
        </is>
      </c>
      <c r="G3" s="23" t="inlineStr">
        <is>
          <t>Yr 5</t>
        </is>
      </c>
      <c r="H3" s="23" t="inlineStr">
        <is>
          <t>Yr 6</t>
        </is>
      </c>
      <c r="I3" s="23" t="inlineStr">
        <is>
          <t>Yr 7</t>
        </is>
      </c>
      <c r="J3" s="23" t="inlineStr">
        <is>
          <t>Yr 8</t>
        </is>
      </c>
      <c r="K3" s="23" t="inlineStr">
        <is>
          <t>Yr 9</t>
        </is>
      </c>
      <c r="L3" s="23" t="inlineStr">
        <is>
          <t>Yr 10</t>
        </is>
      </c>
      <c r="M3" s="23" t="inlineStr">
        <is>
          <t>Yr 11</t>
        </is>
      </c>
      <c r="N3" s="23" t="inlineStr">
        <is>
          <t>Yr 12</t>
        </is>
      </c>
      <c r="O3" s="23" t="inlineStr">
        <is>
          <t>Yr 13</t>
        </is>
      </c>
      <c r="P3" s="23" t="inlineStr">
        <is>
          <t>Yr 14</t>
        </is>
      </c>
      <c r="Q3" s="23" t="inlineStr">
        <is>
          <t>Yr 15</t>
        </is>
      </c>
      <c r="R3" s="23" t="inlineStr">
        <is>
          <t>Yr 16</t>
        </is>
      </c>
      <c r="S3" s="23" t="inlineStr">
        <is>
          <t>Yr 17</t>
        </is>
      </c>
      <c r="T3" s="23" t="inlineStr">
        <is>
          <t>Yr 18</t>
        </is>
      </c>
      <c r="U3" s="23" t="inlineStr">
        <is>
          <t>Yr 19</t>
        </is>
      </c>
      <c r="V3" s="23" t="inlineStr">
        <is>
          <t>Yr 20</t>
        </is>
      </c>
    </row>
    <row r="4" ht="22" customHeight="1">
      <c r="B4" s="10" t="inlineStr">
        <is>
          <t>REVENUE</t>
        </is>
      </c>
      <c r="C4" s="11" t="n"/>
      <c r="D4" s="11" t="n"/>
      <c r="E4" s="11" t="n"/>
      <c r="F4" s="11" t="n"/>
      <c r="G4" s="11" t="n"/>
      <c r="H4" s="11" t="n"/>
      <c r="I4" s="11" t="n"/>
      <c r="J4" s="11" t="n"/>
      <c r="K4" s="11" t="n"/>
      <c r="L4" s="11" t="n"/>
      <c r="M4" s="11" t="n"/>
      <c r="N4" s="11" t="n"/>
      <c r="O4" s="11" t="n"/>
      <c r="P4" s="11" t="n"/>
      <c r="Q4" s="11" t="n"/>
      <c r="R4" s="11" t="n"/>
      <c r="S4" s="11" t="n"/>
      <c r="T4" s="11" t="n"/>
      <c r="U4" s="11" t="n"/>
      <c r="V4" s="11" t="n"/>
      <c r="W4" s="11" t="n"/>
    </row>
    <row r="5">
      <c r="B5" s="12" t="inlineStr">
        <is>
          <t xml:space="preserve">  Installed Capacity (MWh)</t>
        </is>
      </c>
      <c r="C5" s="24" t="n">
        <v>10</v>
      </c>
      <c r="D5" s="24" t="n">
        <v>10</v>
      </c>
      <c r="E5" s="24" t="n">
        <v>10</v>
      </c>
      <c r="F5" s="24" t="n">
        <v>10</v>
      </c>
      <c r="G5" s="24" t="n">
        <v>10</v>
      </c>
      <c r="H5" s="24" t="n">
        <v>10</v>
      </c>
      <c r="I5" s="24" t="n">
        <v>10</v>
      </c>
      <c r="J5" s="24" t="n">
        <v>10</v>
      </c>
      <c r="K5" s="24" t="n">
        <v>10</v>
      </c>
      <c r="L5" s="24" t="n">
        <v>10</v>
      </c>
      <c r="M5" s="24" t="n">
        <v>10</v>
      </c>
      <c r="N5" s="24" t="n">
        <v>10</v>
      </c>
      <c r="O5" s="24" t="n">
        <v>10</v>
      </c>
      <c r="P5" s="24" t="n">
        <v>10</v>
      </c>
      <c r="Q5" s="24" t="n">
        <v>10</v>
      </c>
      <c r="R5" s="24" t="n">
        <v>10</v>
      </c>
      <c r="S5" s="24" t="n">
        <v>10</v>
      </c>
      <c r="T5" s="24" t="n">
        <v>10</v>
      </c>
      <c r="U5" s="24" t="n">
        <v>10</v>
      </c>
      <c r="V5" s="24" t="n">
        <v>10</v>
      </c>
      <c r="W5" s="11" t="n"/>
    </row>
    <row r="6">
      <c r="B6" s="12" t="inlineStr">
        <is>
          <t xml:space="preserve">  Degradation Factor</t>
        </is>
      </c>
      <c r="C6" s="25">
        <f>1</f>
        <v/>
      </c>
      <c r="D6" s="25">
        <f>1-(0.02*1)</f>
        <v/>
      </c>
      <c r="E6" s="25">
        <f>1-(0.02*2)</f>
        <v/>
      </c>
      <c r="F6" s="25">
        <f>1-(0.02*3)</f>
        <v/>
      </c>
      <c r="G6" s="25">
        <f>1-(0.02*4)</f>
        <v/>
      </c>
      <c r="H6" s="25">
        <f>1-(0.02*5)</f>
        <v/>
      </c>
      <c r="I6" s="25">
        <f>1-(0.02*6)</f>
        <v/>
      </c>
      <c r="J6" s="25">
        <f>1-(0.02*7)</f>
        <v/>
      </c>
      <c r="K6" s="25">
        <f>1-(0.02*8)</f>
        <v/>
      </c>
      <c r="L6" s="25">
        <f>1-(0.02*9)</f>
        <v/>
      </c>
      <c r="M6" s="25">
        <f>1-(0.02*10)</f>
        <v/>
      </c>
      <c r="N6" s="25">
        <f>1-(0.02*11)</f>
        <v/>
      </c>
      <c r="O6" s="25">
        <f>1-(0.02*12)</f>
        <v/>
      </c>
      <c r="P6" s="25">
        <f>1-(0.02*13)</f>
        <v/>
      </c>
      <c r="Q6" s="25">
        <f>1-(0.02*14)</f>
        <v/>
      </c>
      <c r="R6" s="25">
        <f>1-(0.02*15)</f>
        <v/>
      </c>
      <c r="S6" s="25">
        <f>1-(0.02*16)</f>
        <v/>
      </c>
      <c r="T6" s="25">
        <f>1-(0.02*17)</f>
        <v/>
      </c>
      <c r="U6" s="25">
        <f>1-(0.02*18)</f>
        <v/>
      </c>
      <c r="V6" s="25">
        <f>1-(0.02*19)</f>
        <v/>
      </c>
      <c r="W6" s="11" t="n"/>
    </row>
    <row r="7">
      <c r="B7" s="12" t="inlineStr">
        <is>
          <t xml:space="preserve">  Effective Capacity (MWh)</t>
        </is>
      </c>
      <c r="C7" s="26">
        <f>C5*C6</f>
        <v/>
      </c>
      <c r="D7" s="26">
        <f>D5*D6</f>
        <v/>
      </c>
      <c r="E7" s="26">
        <f>E5*E6</f>
        <v/>
      </c>
      <c r="F7" s="26">
        <f>F5*F6</f>
        <v/>
      </c>
      <c r="G7" s="26">
        <f>G5*G6</f>
        <v/>
      </c>
      <c r="H7" s="26">
        <f>H5*H6</f>
        <v/>
      </c>
      <c r="I7" s="26">
        <f>I5*I6</f>
        <v/>
      </c>
      <c r="J7" s="26">
        <f>J5*J6</f>
        <v/>
      </c>
      <c r="K7" s="26">
        <f>K5*K6</f>
        <v/>
      </c>
      <c r="L7" s="26">
        <f>L5*L6</f>
        <v/>
      </c>
      <c r="M7" s="26">
        <f>M5*M6</f>
        <v/>
      </c>
      <c r="N7" s="26">
        <f>N5*N6</f>
        <v/>
      </c>
      <c r="O7" s="26">
        <f>O5*O6</f>
        <v/>
      </c>
      <c r="P7" s="26">
        <f>P5*P6</f>
        <v/>
      </c>
      <c r="Q7" s="26">
        <f>Q5*Q6</f>
        <v/>
      </c>
      <c r="R7" s="26">
        <f>R5*R6</f>
        <v/>
      </c>
      <c r="S7" s="26">
        <f>S5*S6</f>
        <v/>
      </c>
      <c r="T7" s="26">
        <f>T5*T6</f>
        <v/>
      </c>
      <c r="U7" s="26">
        <f>U5*U6</f>
        <v/>
      </c>
      <c r="V7" s="26">
        <f>V5*V6</f>
        <v/>
      </c>
      <c r="W7" s="11" t="n"/>
    </row>
    <row r="8">
      <c r="B8" s="12" t="inlineStr">
        <is>
          <t xml:space="preserve">  Cycles/Day</t>
        </is>
      </c>
      <c r="C8" s="24" t="n">
        <v>2</v>
      </c>
      <c r="D8" s="24" t="n">
        <v>2</v>
      </c>
      <c r="E8" s="24" t="n">
        <v>2</v>
      </c>
      <c r="F8" s="24" t="n">
        <v>2</v>
      </c>
      <c r="G8" s="24" t="n">
        <v>2</v>
      </c>
      <c r="H8" s="24" t="n">
        <v>2</v>
      </c>
      <c r="I8" s="24" t="n">
        <v>2</v>
      </c>
      <c r="J8" s="24" t="n">
        <v>2</v>
      </c>
      <c r="K8" s="24" t="n">
        <v>2</v>
      </c>
      <c r="L8" s="24" t="n">
        <v>2</v>
      </c>
      <c r="M8" s="24" t="n">
        <v>2</v>
      </c>
      <c r="N8" s="24" t="n">
        <v>2</v>
      </c>
      <c r="O8" s="24" t="n">
        <v>2</v>
      </c>
      <c r="P8" s="24" t="n">
        <v>2</v>
      </c>
      <c r="Q8" s="24" t="n">
        <v>2</v>
      </c>
      <c r="R8" s="24" t="n">
        <v>2</v>
      </c>
      <c r="S8" s="24" t="n">
        <v>2</v>
      </c>
      <c r="T8" s="24" t="n">
        <v>2</v>
      </c>
      <c r="U8" s="24" t="n">
        <v>2</v>
      </c>
      <c r="V8" s="24" t="n">
        <v>2</v>
      </c>
      <c r="W8" s="11" t="n"/>
    </row>
    <row r="9">
      <c r="B9" s="12" t="inlineStr">
        <is>
          <t xml:space="preserve">  Operating Days</t>
        </is>
      </c>
      <c r="C9" s="24" t="n">
        <v>350</v>
      </c>
      <c r="D9" s="24" t="n">
        <v>350</v>
      </c>
      <c r="E9" s="24" t="n">
        <v>350</v>
      </c>
      <c r="F9" s="24" t="n">
        <v>350</v>
      </c>
      <c r="G9" s="24" t="n">
        <v>350</v>
      </c>
      <c r="H9" s="24" t="n">
        <v>350</v>
      </c>
      <c r="I9" s="24" t="n">
        <v>350</v>
      </c>
      <c r="J9" s="24" t="n">
        <v>350</v>
      </c>
      <c r="K9" s="24" t="n">
        <v>350</v>
      </c>
      <c r="L9" s="24" t="n">
        <v>350</v>
      </c>
      <c r="M9" s="24" t="n">
        <v>350</v>
      </c>
      <c r="N9" s="24" t="n">
        <v>350</v>
      </c>
      <c r="O9" s="24" t="n">
        <v>350</v>
      </c>
      <c r="P9" s="24" t="n">
        <v>350</v>
      </c>
      <c r="Q9" s="24" t="n">
        <v>350</v>
      </c>
      <c r="R9" s="24" t="n">
        <v>350</v>
      </c>
      <c r="S9" s="24" t="n">
        <v>350</v>
      </c>
      <c r="T9" s="24" t="n">
        <v>350</v>
      </c>
      <c r="U9" s="24" t="n">
        <v>350</v>
      </c>
      <c r="V9" s="24" t="n">
        <v>350</v>
      </c>
      <c r="W9" s="11" t="n"/>
    </row>
    <row r="10">
      <c r="B10" s="12" t="inlineStr">
        <is>
          <t xml:space="preserve">  Annual Energy Throughput (MWh)</t>
        </is>
      </c>
      <c r="C10" s="27">
        <f>C7*C8*C9</f>
        <v/>
      </c>
      <c r="D10" s="27">
        <f>D7*D8*D9</f>
        <v/>
      </c>
      <c r="E10" s="27">
        <f>E7*E8*E9</f>
        <v/>
      </c>
      <c r="F10" s="27">
        <f>F7*F8*F9</f>
        <v/>
      </c>
      <c r="G10" s="27">
        <f>G7*G8*G9</f>
        <v/>
      </c>
      <c r="H10" s="27">
        <f>H7*H8*H9</f>
        <v/>
      </c>
      <c r="I10" s="27">
        <f>I7*I8*I9</f>
        <v/>
      </c>
      <c r="J10" s="27">
        <f>J7*J8*J9</f>
        <v/>
      </c>
      <c r="K10" s="27">
        <f>K7*K8*K9</f>
        <v/>
      </c>
      <c r="L10" s="27">
        <f>L7*L8*L9</f>
        <v/>
      </c>
      <c r="M10" s="27">
        <f>M7*M8*M9</f>
        <v/>
      </c>
      <c r="N10" s="27">
        <f>N7*N8*N9</f>
        <v/>
      </c>
      <c r="O10" s="27">
        <f>O7*O8*O9</f>
        <v/>
      </c>
      <c r="P10" s="27">
        <f>P7*P8*P9</f>
        <v/>
      </c>
      <c r="Q10" s="27">
        <f>Q7*Q8*Q9</f>
        <v/>
      </c>
      <c r="R10" s="27">
        <f>R7*R8*R9</f>
        <v/>
      </c>
      <c r="S10" s="27">
        <f>S7*S8*S9</f>
        <v/>
      </c>
      <c r="T10" s="27">
        <f>T7*T8*T9</f>
        <v/>
      </c>
      <c r="U10" s="27">
        <f>U7*U8*U9</f>
        <v/>
      </c>
      <c r="V10" s="27">
        <f>V7*V8*V9</f>
        <v/>
      </c>
      <c r="W10" s="11" t="n"/>
    </row>
    <row r="11">
      <c r="B11" s="12" t="inlineStr">
        <is>
          <t xml:space="preserve">  Round Trip Efficiency</t>
        </is>
      </c>
      <c r="C11" s="28" t="n">
        <v>0.88</v>
      </c>
      <c r="D11" s="28" t="n">
        <v>0.88</v>
      </c>
      <c r="E11" s="28" t="n">
        <v>0.88</v>
      </c>
      <c r="F11" s="28" t="n">
        <v>0.88</v>
      </c>
      <c r="G11" s="28" t="n">
        <v>0.88</v>
      </c>
      <c r="H11" s="28" t="n">
        <v>0.88</v>
      </c>
      <c r="I11" s="28" t="n">
        <v>0.88</v>
      </c>
      <c r="J11" s="28" t="n">
        <v>0.88</v>
      </c>
      <c r="K11" s="28" t="n">
        <v>0.88</v>
      </c>
      <c r="L11" s="28" t="n">
        <v>0.88</v>
      </c>
      <c r="M11" s="28" t="n">
        <v>0.88</v>
      </c>
      <c r="N11" s="28" t="n">
        <v>0.88</v>
      </c>
      <c r="O11" s="28" t="n">
        <v>0.88</v>
      </c>
      <c r="P11" s="28" t="n">
        <v>0.88</v>
      </c>
      <c r="Q11" s="28" t="n">
        <v>0.88</v>
      </c>
      <c r="R11" s="28" t="n">
        <v>0.88</v>
      </c>
      <c r="S11" s="28" t="n">
        <v>0.88</v>
      </c>
      <c r="T11" s="28" t="n">
        <v>0.88</v>
      </c>
      <c r="U11" s="28" t="n">
        <v>0.88</v>
      </c>
      <c r="V11" s="28" t="n">
        <v>0.88</v>
      </c>
      <c r="W11" s="11" t="n"/>
    </row>
    <row r="12">
      <c r="B12" s="12" t="inlineStr">
        <is>
          <t xml:space="preserve">  Net Energy Delivered (MWh)</t>
        </is>
      </c>
      <c r="C12" s="27">
        <f>C10*C11</f>
        <v/>
      </c>
      <c r="D12" s="27">
        <f>D10*D11</f>
        <v/>
      </c>
      <c r="E12" s="27">
        <f>E10*E11</f>
        <v/>
      </c>
      <c r="F12" s="27">
        <f>F10*F11</f>
        <v/>
      </c>
      <c r="G12" s="27">
        <f>G10*G11</f>
        <v/>
      </c>
      <c r="H12" s="27">
        <f>H10*H11</f>
        <v/>
      </c>
      <c r="I12" s="27">
        <f>I10*I11</f>
        <v/>
      </c>
      <c r="J12" s="27">
        <f>J10*J11</f>
        <v/>
      </c>
      <c r="K12" s="27">
        <f>K10*K11</f>
        <v/>
      </c>
      <c r="L12" s="27">
        <f>L10*L11</f>
        <v/>
      </c>
      <c r="M12" s="27">
        <f>M10*M11</f>
        <v/>
      </c>
      <c r="N12" s="27">
        <f>N10*N11</f>
        <v/>
      </c>
      <c r="O12" s="27">
        <f>O10*O11</f>
        <v/>
      </c>
      <c r="P12" s="27">
        <f>P10*P11</f>
        <v/>
      </c>
      <c r="Q12" s="27">
        <f>Q10*Q11</f>
        <v/>
      </c>
      <c r="R12" s="27">
        <f>R10*R11</f>
        <v/>
      </c>
      <c r="S12" s="27">
        <f>S10*S11</f>
        <v/>
      </c>
      <c r="T12" s="27">
        <f>T10*T11</f>
        <v/>
      </c>
      <c r="U12" s="27">
        <f>U10*U11</f>
        <v/>
      </c>
      <c r="V12" s="27">
        <f>V10*V11</f>
        <v/>
      </c>
      <c r="W12" s="11" t="n"/>
    </row>
    <row r="13">
      <c r="B13" s="12" t="inlineStr">
        <is>
          <t xml:space="preserve">  Arbitrage Tariff (Rs/kWh)</t>
        </is>
      </c>
      <c r="C13" s="29" t="n">
        <v>5.5</v>
      </c>
      <c r="D13" s="29" t="n">
        <v>5.5</v>
      </c>
      <c r="E13" s="29" t="n">
        <v>5.5</v>
      </c>
      <c r="F13" s="29" t="n">
        <v>5.5</v>
      </c>
      <c r="G13" s="29" t="n">
        <v>5.5</v>
      </c>
      <c r="H13" s="29" t="n">
        <v>5.5</v>
      </c>
      <c r="I13" s="29" t="n">
        <v>5.5</v>
      </c>
      <c r="J13" s="29" t="n">
        <v>5.5</v>
      </c>
      <c r="K13" s="29" t="n">
        <v>5.5</v>
      </c>
      <c r="L13" s="29" t="n">
        <v>5.5</v>
      </c>
      <c r="M13" s="29" t="n">
        <v>5.5</v>
      </c>
      <c r="N13" s="29" t="n">
        <v>5.5</v>
      </c>
      <c r="O13" s="29" t="n">
        <v>5.5</v>
      </c>
      <c r="P13" s="29" t="n">
        <v>5.5</v>
      </c>
      <c r="Q13" s="29" t="n">
        <v>5.5</v>
      </c>
      <c r="R13" s="29" t="n">
        <v>5.5</v>
      </c>
      <c r="S13" s="29" t="n">
        <v>5.5</v>
      </c>
      <c r="T13" s="29" t="n">
        <v>5.5</v>
      </c>
      <c r="U13" s="29" t="n">
        <v>5.5</v>
      </c>
      <c r="V13" s="29" t="n">
        <v>5.5</v>
      </c>
      <c r="W13" s="11" t="n"/>
    </row>
    <row r="14">
      <c r="B14" s="12" t="inlineStr">
        <is>
          <t xml:space="preserve">  Tariff Escalation Factor</t>
        </is>
      </c>
      <c r="C14" s="25">
        <f>1</f>
        <v/>
      </c>
      <c r="D14" s="25">
        <f>(1+0.03)^1</f>
        <v/>
      </c>
      <c r="E14" s="25">
        <f>(1+0.03)^2</f>
        <v/>
      </c>
      <c r="F14" s="25">
        <f>(1+0.03)^3</f>
        <v/>
      </c>
      <c r="G14" s="25">
        <f>(1+0.03)^4</f>
        <v/>
      </c>
      <c r="H14" s="25">
        <f>(1+0.03)^5</f>
        <v/>
      </c>
      <c r="I14" s="25">
        <f>(1+0.03)^6</f>
        <v/>
      </c>
      <c r="J14" s="25">
        <f>(1+0.03)^7</f>
        <v/>
      </c>
      <c r="K14" s="25">
        <f>(1+0.03)^8</f>
        <v/>
      </c>
      <c r="L14" s="25">
        <f>(1+0.03)^9</f>
        <v/>
      </c>
      <c r="M14" s="25">
        <f>(1+0.03)^10</f>
        <v/>
      </c>
      <c r="N14" s="25">
        <f>(1+0.03)^11</f>
        <v/>
      </c>
      <c r="O14" s="25">
        <f>(1+0.03)^12</f>
        <v/>
      </c>
      <c r="P14" s="25">
        <f>(1+0.03)^13</f>
        <v/>
      </c>
      <c r="Q14" s="25">
        <f>(1+0.03)^14</f>
        <v/>
      </c>
      <c r="R14" s="25">
        <f>(1+0.03)^15</f>
        <v/>
      </c>
      <c r="S14" s="25">
        <f>(1+0.03)^16</f>
        <v/>
      </c>
      <c r="T14" s="25">
        <f>(1+0.03)^17</f>
        <v/>
      </c>
      <c r="U14" s="25">
        <f>(1+0.03)^18</f>
        <v/>
      </c>
      <c r="V14" s="25">
        <f>(1+0.03)^19</f>
        <v/>
      </c>
      <c r="W14" s="11" t="n"/>
    </row>
    <row r="15">
      <c r="B15" s="12" t="inlineStr">
        <is>
          <t xml:space="preserve">  Effective Tariff (Rs/kWh)</t>
        </is>
      </c>
      <c r="C15" s="30">
        <f>C13*C14</f>
        <v/>
      </c>
      <c r="D15" s="30">
        <f>D13*D14</f>
        <v/>
      </c>
      <c r="E15" s="30">
        <f>E13*E14</f>
        <v/>
      </c>
      <c r="F15" s="30">
        <f>F13*F14</f>
        <v/>
      </c>
      <c r="G15" s="30">
        <f>G13*G14</f>
        <v/>
      </c>
      <c r="H15" s="30">
        <f>H13*H14</f>
        <v/>
      </c>
      <c r="I15" s="30">
        <f>I13*I14</f>
        <v/>
      </c>
      <c r="J15" s="30">
        <f>J13*J14</f>
        <v/>
      </c>
      <c r="K15" s="30">
        <f>K13*K14</f>
        <v/>
      </c>
      <c r="L15" s="30">
        <f>L13*L14</f>
        <v/>
      </c>
      <c r="M15" s="30">
        <f>M13*M14</f>
        <v/>
      </c>
      <c r="N15" s="30">
        <f>N13*N14</f>
        <v/>
      </c>
      <c r="O15" s="30">
        <f>O13*O14</f>
        <v/>
      </c>
      <c r="P15" s="30">
        <f>P13*P14</f>
        <v/>
      </c>
      <c r="Q15" s="30">
        <f>Q13*Q14</f>
        <v/>
      </c>
      <c r="R15" s="30">
        <f>R13*R14</f>
        <v/>
      </c>
      <c r="S15" s="30">
        <f>S13*S14</f>
        <v/>
      </c>
      <c r="T15" s="30">
        <f>T13*T14</f>
        <v/>
      </c>
      <c r="U15" s="30">
        <f>U13*U14</f>
        <v/>
      </c>
      <c r="V15" s="30">
        <f>V13*V14</f>
        <v/>
      </c>
      <c r="W15" s="11" t="n"/>
    </row>
    <row r="16">
      <c r="B16" s="12" t="inlineStr">
        <is>
          <t xml:space="preserve">  Energy Revenue (Rs Lakhs)</t>
        </is>
      </c>
      <c r="C16" s="30">
        <f>C12*C15/100000</f>
        <v/>
      </c>
      <c r="D16" s="30">
        <f>D12*D15/100000</f>
        <v/>
      </c>
      <c r="E16" s="30">
        <f>E12*E15/100000</f>
        <v/>
      </c>
      <c r="F16" s="30">
        <f>F12*F15/100000</f>
        <v/>
      </c>
      <c r="G16" s="30">
        <f>G12*G15/100000</f>
        <v/>
      </c>
      <c r="H16" s="30">
        <f>H12*H15/100000</f>
        <v/>
      </c>
      <c r="I16" s="30">
        <f>I12*I15/100000</f>
        <v/>
      </c>
      <c r="J16" s="30">
        <f>J12*J15/100000</f>
        <v/>
      </c>
      <c r="K16" s="30">
        <f>K12*K15/100000</f>
        <v/>
      </c>
      <c r="L16" s="30">
        <f>L12*L15/100000</f>
        <v/>
      </c>
      <c r="M16" s="30">
        <f>M12*M15/100000</f>
        <v/>
      </c>
      <c r="N16" s="30">
        <f>N12*N15/100000</f>
        <v/>
      </c>
      <c r="O16" s="30">
        <f>O12*O15/100000</f>
        <v/>
      </c>
      <c r="P16" s="30">
        <f>P12*P15/100000</f>
        <v/>
      </c>
      <c r="Q16" s="30">
        <f>Q12*Q15/100000</f>
        <v/>
      </c>
      <c r="R16" s="30">
        <f>R12*R15/100000</f>
        <v/>
      </c>
      <c r="S16" s="30">
        <f>S12*S15/100000</f>
        <v/>
      </c>
      <c r="T16" s="30">
        <f>T12*T15/100000</f>
        <v/>
      </c>
      <c r="U16" s="30">
        <f>U12*U15/100000</f>
        <v/>
      </c>
      <c r="V16" s="30">
        <f>V12*V15/100000</f>
        <v/>
      </c>
      <c r="W16" s="11" t="n"/>
    </row>
    <row r="17">
      <c r="B17" s="12" t="inlineStr">
        <is>
          <t xml:space="preserve">  Ancillary Revenue (Rs Lakhs)</t>
        </is>
      </c>
      <c r="C17" s="30">
        <f>C12*0.80/100000</f>
        <v/>
      </c>
      <c r="D17" s="30">
        <f>D12*0.80/100000</f>
        <v/>
      </c>
      <c r="E17" s="30">
        <f>E12*0.80/100000</f>
        <v/>
      </c>
      <c r="F17" s="30">
        <f>F12*0.80/100000</f>
        <v/>
      </c>
      <c r="G17" s="30">
        <f>G12*0.80/100000</f>
        <v/>
      </c>
      <c r="H17" s="30">
        <f>H12*0.80/100000</f>
        <v/>
      </c>
      <c r="I17" s="30">
        <f>I12*0.80/100000</f>
        <v/>
      </c>
      <c r="J17" s="30">
        <f>J12*0.80/100000</f>
        <v/>
      </c>
      <c r="K17" s="30">
        <f>K12*0.80/100000</f>
        <v/>
      </c>
      <c r="L17" s="30">
        <f>L12*0.80/100000</f>
        <v/>
      </c>
      <c r="M17" s="30">
        <f>M12*0.80/100000</f>
        <v/>
      </c>
      <c r="N17" s="30">
        <f>N12*0.80/100000</f>
        <v/>
      </c>
      <c r="O17" s="30">
        <f>O12*0.80/100000</f>
        <v/>
      </c>
      <c r="P17" s="30">
        <f>P12*0.80/100000</f>
        <v/>
      </c>
      <c r="Q17" s="30">
        <f>Q12*0.80/100000</f>
        <v/>
      </c>
      <c r="R17" s="30">
        <f>R12*0.80/100000</f>
        <v/>
      </c>
      <c r="S17" s="30">
        <f>S12*0.80/100000</f>
        <v/>
      </c>
      <c r="T17" s="30">
        <f>T12*0.80/100000</f>
        <v/>
      </c>
      <c r="U17" s="30">
        <f>U12*0.80/100000</f>
        <v/>
      </c>
      <c r="V17" s="30">
        <f>V12*0.80/100000</f>
        <v/>
      </c>
      <c r="W17" s="11" t="n"/>
    </row>
    <row r="18">
      <c r="B18" s="17" t="inlineStr">
        <is>
          <t xml:space="preserve">  TOTAL REVENUE (Rs Lakhs)</t>
        </is>
      </c>
      <c r="C18" s="31">
        <f>C16+C17</f>
        <v/>
      </c>
      <c r="D18" s="31">
        <f>D16+D17</f>
        <v/>
      </c>
      <c r="E18" s="31">
        <f>E16+E17</f>
        <v/>
      </c>
      <c r="F18" s="31">
        <f>F16+F17</f>
        <v/>
      </c>
      <c r="G18" s="31">
        <f>G16+G17</f>
        <v/>
      </c>
      <c r="H18" s="31">
        <f>H16+H17</f>
        <v/>
      </c>
      <c r="I18" s="31">
        <f>I16+I17</f>
        <v/>
      </c>
      <c r="J18" s="31">
        <f>J16+J17</f>
        <v/>
      </c>
      <c r="K18" s="31">
        <f>K16+K17</f>
        <v/>
      </c>
      <c r="L18" s="31">
        <f>L16+L17</f>
        <v/>
      </c>
      <c r="M18" s="31">
        <f>M16+M17</f>
        <v/>
      </c>
      <c r="N18" s="31">
        <f>N16+N17</f>
        <v/>
      </c>
      <c r="O18" s="31">
        <f>O16+O17</f>
        <v/>
      </c>
      <c r="P18" s="31">
        <f>P16+P17</f>
        <v/>
      </c>
      <c r="Q18" s="31">
        <f>Q16+Q17</f>
        <v/>
      </c>
      <c r="R18" s="31">
        <f>R16+R17</f>
        <v/>
      </c>
      <c r="S18" s="31">
        <f>S16+S17</f>
        <v/>
      </c>
      <c r="T18" s="31">
        <f>T16+T17</f>
        <v/>
      </c>
      <c r="U18" s="31">
        <f>U16+U17</f>
        <v/>
      </c>
      <c r="V18" s="31">
        <f>V16+V17</f>
        <v/>
      </c>
      <c r="W18" s="11" t="n"/>
    </row>
    <row r="19"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  <c r="P19" s="11" t="n"/>
      <c r="Q19" s="11" t="n"/>
      <c r="R19" s="11" t="n"/>
      <c r="S19" s="11" t="n"/>
      <c r="T19" s="11" t="n"/>
      <c r="U19" s="11" t="n"/>
      <c r="V19" s="11" t="n"/>
      <c r="W19" s="11" t="n"/>
    </row>
    <row r="20" ht="22" customHeight="1">
      <c r="B20" s="32" t="inlineStr">
        <is>
          <t>OPERATING EXPENDITURE</t>
        </is>
      </c>
      <c r="C20" s="11" t="n"/>
      <c r="D20" s="11" t="n"/>
      <c r="E20" s="11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  <c r="P20" s="11" t="n"/>
      <c r="Q20" s="11" t="n"/>
      <c r="R20" s="11" t="n"/>
      <c r="S20" s="11" t="n"/>
      <c r="T20" s="11" t="n"/>
      <c r="U20" s="11" t="n"/>
      <c r="V20" s="11" t="n"/>
      <c r="W20" s="11" t="n"/>
    </row>
    <row r="21">
      <c r="B21" s="12" t="inlineStr">
        <is>
          <t xml:space="preserve">  O&amp;M Cost (Rs Lakhs)</t>
        </is>
      </c>
      <c r="C21" s="30">
        <f>15*(1+0.05)^0</f>
        <v/>
      </c>
      <c r="D21" s="30">
        <f>15*(1+0.05)^1</f>
        <v/>
      </c>
      <c r="E21" s="30">
        <f>15*(1+0.05)^2</f>
        <v/>
      </c>
      <c r="F21" s="30">
        <f>15*(1+0.05)^3</f>
        <v/>
      </c>
      <c r="G21" s="30">
        <f>15*(1+0.05)^4</f>
        <v/>
      </c>
      <c r="H21" s="30">
        <f>15*(1+0.05)^5</f>
        <v/>
      </c>
      <c r="I21" s="30">
        <f>15*(1+0.05)^6</f>
        <v/>
      </c>
      <c r="J21" s="30">
        <f>15*(1+0.05)^7</f>
        <v/>
      </c>
      <c r="K21" s="30">
        <f>15*(1+0.05)^8</f>
        <v/>
      </c>
      <c r="L21" s="30">
        <f>15*(1+0.05)^9</f>
        <v/>
      </c>
      <c r="M21" s="30">
        <f>15*(1+0.05)^10</f>
        <v/>
      </c>
      <c r="N21" s="30">
        <f>15*(1+0.05)^11</f>
        <v/>
      </c>
      <c r="O21" s="30">
        <f>15*(1+0.05)^12</f>
        <v/>
      </c>
      <c r="P21" s="30">
        <f>15*(1+0.05)^13</f>
        <v/>
      </c>
      <c r="Q21" s="30">
        <f>15*(1+0.05)^14</f>
        <v/>
      </c>
      <c r="R21" s="30">
        <f>15*(1+0.05)^15</f>
        <v/>
      </c>
      <c r="S21" s="30">
        <f>15*(1+0.05)^16</f>
        <v/>
      </c>
      <c r="T21" s="30">
        <f>15*(1+0.05)^17</f>
        <v/>
      </c>
      <c r="U21" s="30">
        <f>15*(1+0.05)^18</f>
        <v/>
      </c>
      <c r="V21" s="30">
        <f>15*(1+0.05)^19</f>
        <v/>
      </c>
      <c r="W21" s="11" t="n"/>
    </row>
    <row r="22">
      <c r="B22" s="12" t="inlineStr">
        <is>
          <t xml:space="preserve">  Insurance (Rs Lakhs)</t>
        </is>
      </c>
      <c r="C22" s="30">
        <f>5*(1+0.03)^0</f>
        <v/>
      </c>
      <c r="D22" s="30">
        <f>5*(1+0.03)^1</f>
        <v/>
      </c>
      <c r="E22" s="30">
        <f>5*(1+0.03)^2</f>
        <v/>
      </c>
      <c r="F22" s="30">
        <f>5*(1+0.03)^3</f>
        <v/>
      </c>
      <c r="G22" s="30">
        <f>5*(1+0.03)^4</f>
        <v/>
      </c>
      <c r="H22" s="30">
        <f>5*(1+0.03)^5</f>
        <v/>
      </c>
      <c r="I22" s="30">
        <f>5*(1+0.03)^6</f>
        <v/>
      </c>
      <c r="J22" s="30">
        <f>5*(1+0.03)^7</f>
        <v/>
      </c>
      <c r="K22" s="30">
        <f>5*(1+0.03)^8</f>
        <v/>
      </c>
      <c r="L22" s="30">
        <f>5*(1+0.03)^9</f>
        <v/>
      </c>
      <c r="M22" s="30">
        <f>5*(1+0.03)^10</f>
        <v/>
      </c>
      <c r="N22" s="30">
        <f>5*(1+0.03)^11</f>
        <v/>
      </c>
      <c r="O22" s="30">
        <f>5*(1+0.03)^12</f>
        <v/>
      </c>
      <c r="P22" s="30">
        <f>5*(1+0.03)^13</f>
        <v/>
      </c>
      <c r="Q22" s="30">
        <f>5*(1+0.03)^14</f>
        <v/>
      </c>
      <c r="R22" s="30">
        <f>5*(1+0.03)^15</f>
        <v/>
      </c>
      <c r="S22" s="30">
        <f>5*(1+0.03)^16</f>
        <v/>
      </c>
      <c r="T22" s="30">
        <f>5*(1+0.03)^17</f>
        <v/>
      </c>
      <c r="U22" s="30">
        <f>5*(1+0.03)^18</f>
        <v/>
      </c>
      <c r="V22" s="30">
        <f>5*(1+0.03)^19</f>
        <v/>
      </c>
      <c r="W22" s="11" t="n"/>
    </row>
    <row r="23">
      <c r="B23" s="12" t="inlineStr">
        <is>
          <t xml:space="preserve">  Land &amp; Admin (Rs Lakhs)</t>
        </is>
      </c>
      <c r="C23" s="30">
        <f>5*(1+0.03)^0</f>
        <v/>
      </c>
      <c r="D23" s="30">
        <f>5*(1+0.03)^1</f>
        <v/>
      </c>
      <c r="E23" s="30">
        <f>5*(1+0.03)^2</f>
        <v/>
      </c>
      <c r="F23" s="30">
        <f>5*(1+0.03)^3</f>
        <v/>
      </c>
      <c r="G23" s="30">
        <f>5*(1+0.03)^4</f>
        <v/>
      </c>
      <c r="H23" s="30">
        <f>5*(1+0.03)^5</f>
        <v/>
      </c>
      <c r="I23" s="30">
        <f>5*(1+0.03)^6</f>
        <v/>
      </c>
      <c r="J23" s="30">
        <f>5*(1+0.03)^7</f>
        <v/>
      </c>
      <c r="K23" s="30">
        <f>5*(1+0.03)^8</f>
        <v/>
      </c>
      <c r="L23" s="30">
        <f>5*(1+0.03)^9</f>
        <v/>
      </c>
      <c r="M23" s="30">
        <f>5*(1+0.03)^10</f>
        <v/>
      </c>
      <c r="N23" s="30">
        <f>5*(1+0.03)^11</f>
        <v/>
      </c>
      <c r="O23" s="30">
        <f>5*(1+0.03)^12</f>
        <v/>
      </c>
      <c r="P23" s="30">
        <f>5*(1+0.03)^13</f>
        <v/>
      </c>
      <c r="Q23" s="30">
        <f>5*(1+0.03)^14</f>
        <v/>
      </c>
      <c r="R23" s="30">
        <f>5*(1+0.03)^15</f>
        <v/>
      </c>
      <c r="S23" s="30">
        <f>5*(1+0.03)^16</f>
        <v/>
      </c>
      <c r="T23" s="30">
        <f>5*(1+0.03)^17</f>
        <v/>
      </c>
      <c r="U23" s="30">
        <f>5*(1+0.03)^18</f>
        <v/>
      </c>
      <c r="V23" s="30">
        <f>5*(1+0.03)^19</f>
        <v/>
      </c>
      <c r="W23" s="11" t="n"/>
    </row>
    <row r="24">
      <c r="B24" s="12" t="inlineStr">
        <is>
          <t xml:space="preserve">  Battery Reserve (Rs Lakhs)</t>
        </is>
      </c>
      <c r="C24" s="30">
        <f>IF(1&gt;=8,10,3)</f>
        <v/>
      </c>
      <c r="D24" s="30">
        <f>IF(2&gt;=8,10,3)</f>
        <v/>
      </c>
      <c r="E24" s="30">
        <f>IF(3&gt;=8,10,3)</f>
        <v/>
      </c>
      <c r="F24" s="30">
        <f>IF(4&gt;=8,10,3)</f>
        <v/>
      </c>
      <c r="G24" s="30">
        <f>IF(5&gt;=8,10,3)</f>
        <v/>
      </c>
      <c r="H24" s="30">
        <f>IF(6&gt;=8,10,3)</f>
        <v/>
      </c>
      <c r="I24" s="30">
        <f>IF(7&gt;=8,10,3)</f>
        <v/>
      </c>
      <c r="J24" s="30">
        <f>IF(8&gt;=8,10,3)</f>
        <v/>
      </c>
      <c r="K24" s="30">
        <f>IF(9&gt;=8,10,3)</f>
        <v/>
      </c>
      <c r="L24" s="30">
        <f>IF(10&gt;=8,10,3)</f>
        <v/>
      </c>
      <c r="M24" s="30">
        <f>IF(11&gt;=8,10,3)</f>
        <v/>
      </c>
      <c r="N24" s="30">
        <f>IF(12&gt;=8,10,3)</f>
        <v/>
      </c>
      <c r="O24" s="30">
        <f>IF(13&gt;=8,10,3)</f>
        <v/>
      </c>
      <c r="P24" s="30">
        <f>IF(14&gt;=8,10,3)</f>
        <v/>
      </c>
      <c r="Q24" s="30">
        <f>IF(15&gt;=8,10,3)</f>
        <v/>
      </c>
      <c r="R24" s="30">
        <f>IF(16&gt;=8,10,3)</f>
        <v/>
      </c>
      <c r="S24" s="30">
        <f>IF(17&gt;=8,10,3)</f>
        <v/>
      </c>
      <c r="T24" s="30">
        <f>IF(18&gt;=8,10,3)</f>
        <v/>
      </c>
      <c r="U24" s="30">
        <f>IF(19&gt;=8,10,3)</f>
        <v/>
      </c>
      <c r="V24" s="30">
        <f>IF(20&gt;=8,10,3)</f>
        <v/>
      </c>
      <c r="W24" s="11" t="n"/>
    </row>
    <row r="25">
      <c r="B25" s="17" t="inlineStr">
        <is>
          <t xml:space="preserve">  TOTAL OPEX (Rs Lakhs)</t>
        </is>
      </c>
      <c r="C25" s="33">
        <f>C21+C22+C23+C24</f>
        <v/>
      </c>
      <c r="D25" s="33">
        <f>D21+D22+D23+D24</f>
        <v/>
      </c>
      <c r="E25" s="33">
        <f>E21+E22+E23+E24</f>
        <v/>
      </c>
      <c r="F25" s="33">
        <f>F21+F22+F23+F24</f>
        <v/>
      </c>
      <c r="G25" s="33">
        <f>G21+G22+G23+G24</f>
        <v/>
      </c>
      <c r="H25" s="33">
        <f>H21+H22+H23+H24</f>
        <v/>
      </c>
      <c r="I25" s="33">
        <f>I21+I22+I23+I24</f>
        <v/>
      </c>
      <c r="J25" s="33">
        <f>J21+J22+J23+J24</f>
        <v/>
      </c>
      <c r="K25" s="33">
        <f>K21+K22+K23+K24</f>
        <v/>
      </c>
      <c r="L25" s="33">
        <f>L21+L22+L23+L24</f>
        <v/>
      </c>
      <c r="M25" s="33">
        <f>M21+M22+M23+M24</f>
        <v/>
      </c>
      <c r="N25" s="33">
        <f>N21+N22+N23+N24</f>
        <v/>
      </c>
      <c r="O25" s="33">
        <f>O21+O22+O23+O24</f>
        <v/>
      </c>
      <c r="P25" s="33">
        <f>P21+P22+P23+P24</f>
        <v/>
      </c>
      <c r="Q25" s="33">
        <f>Q21+Q22+Q23+Q24</f>
        <v/>
      </c>
      <c r="R25" s="33">
        <f>R21+R22+R23+R24</f>
        <v/>
      </c>
      <c r="S25" s="33">
        <f>S21+S22+S23+S24</f>
        <v/>
      </c>
      <c r="T25" s="33">
        <f>T21+T22+T23+T24</f>
        <v/>
      </c>
      <c r="U25" s="33">
        <f>U21+U22+U23+U24</f>
        <v/>
      </c>
      <c r="V25" s="33">
        <f>V21+V22+V23+V24</f>
        <v/>
      </c>
      <c r="W25" s="11" t="n"/>
    </row>
    <row r="26">
      <c r="B26" s="11" t="n"/>
      <c r="C26" s="11" t="n"/>
      <c r="D26" s="11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  <c r="N26" s="11" t="n"/>
      <c r="O26" s="11" t="n"/>
      <c r="P26" s="11" t="n"/>
      <c r="Q26" s="11" t="n"/>
      <c r="R26" s="11" t="n"/>
      <c r="S26" s="11" t="n"/>
      <c r="T26" s="11" t="n"/>
      <c r="U26" s="11" t="n"/>
      <c r="V26" s="11" t="n"/>
      <c r="W26" s="11" t="n"/>
    </row>
    <row r="27" ht="22" customHeight="1">
      <c r="B27" s="34" t="inlineStr">
        <is>
          <t>EBITDA &amp; CASH FLOW</t>
        </is>
      </c>
      <c r="C27" s="11" t="n"/>
      <c r="D27" s="11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  <c r="O27" s="11" t="n"/>
      <c r="P27" s="11" t="n"/>
      <c r="Q27" s="11" t="n"/>
      <c r="R27" s="11" t="n"/>
      <c r="S27" s="11" t="n"/>
      <c r="T27" s="11" t="n"/>
      <c r="U27" s="11" t="n"/>
      <c r="V27" s="11" t="n"/>
      <c r="W27" s="11" t="n"/>
    </row>
    <row r="28">
      <c r="B28" s="17" t="inlineStr">
        <is>
          <t xml:space="preserve">  EBITDA (Rs Lakhs)</t>
        </is>
      </c>
      <c r="C28" s="31">
        <f>C18-C25</f>
        <v/>
      </c>
      <c r="D28" s="31">
        <f>D18-D25</f>
        <v/>
      </c>
      <c r="E28" s="31">
        <f>E18-E25</f>
        <v/>
      </c>
      <c r="F28" s="31">
        <f>F18-F25</f>
        <v/>
      </c>
      <c r="G28" s="31">
        <f>G18-G25</f>
        <v/>
      </c>
      <c r="H28" s="31">
        <f>H18-H25</f>
        <v/>
      </c>
      <c r="I28" s="31">
        <f>I18-I25</f>
        <v/>
      </c>
      <c r="J28" s="31">
        <f>J18-J25</f>
        <v/>
      </c>
      <c r="K28" s="31">
        <f>K18-K25</f>
        <v/>
      </c>
      <c r="L28" s="31">
        <f>L18-L25</f>
        <v/>
      </c>
      <c r="M28" s="31">
        <f>M18-M25</f>
        <v/>
      </c>
      <c r="N28" s="31">
        <f>N18-N25</f>
        <v/>
      </c>
      <c r="O28" s="31">
        <f>O18-O25</f>
        <v/>
      </c>
      <c r="P28" s="31">
        <f>P18-P25</f>
        <v/>
      </c>
      <c r="Q28" s="31">
        <f>Q18-Q25</f>
        <v/>
      </c>
      <c r="R28" s="31">
        <f>R18-R25</f>
        <v/>
      </c>
      <c r="S28" s="31">
        <f>S18-S25</f>
        <v/>
      </c>
      <c r="T28" s="31">
        <f>T18-T25</f>
        <v/>
      </c>
      <c r="U28" s="31">
        <f>U18-U25</f>
        <v/>
      </c>
      <c r="V28" s="31">
        <f>V18-V25</f>
        <v/>
      </c>
      <c r="W28" s="11" t="n"/>
    </row>
    <row r="29">
      <c r="B29" s="12" t="inlineStr">
        <is>
          <t xml:space="preserve">  Depreciation (Rs Lakhs)</t>
        </is>
      </c>
      <c r="C29" s="30">
        <f>IF(1&lt;=20,500*0.05,0)</f>
        <v/>
      </c>
      <c r="D29" s="30">
        <f>IF(2&lt;=20,500*0.05,0)</f>
        <v/>
      </c>
      <c r="E29" s="30">
        <f>IF(3&lt;=20,500*0.05,0)</f>
        <v/>
      </c>
      <c r="F29" s="30">
        <f>IF(4&lt;=20,500*0.05,0)</f>
        <v/>
      </c>
      <c r="G29" s="30">
        <f>IF(5&lt;=20,500*0.05,0)</f>
        <v/>
      </c>
      <c r="H29" s="30">
        <f>IF(6&lt;=20,500*0.05,0)</f>
        <v/>
      </c>
      <c r="I29" s="30">
        <f>IF(7&lt;=20,500*0.05,0)</f>
        <v/>
      </c>
      <c r="J29" s="30">
        <f>IF(8&lt;=20,500*0.05,0)</f>
        <v/>
      </c>
      <c r="K29" s="30">
        <f>IF(9&lt;=20,500*0.05,0)</f>
        <v/>
      </c>
      <c r="L29" s="30">
        <f>IF(10&lt;=20,500*0.05,0)</f>
        <v/>
      </c>
      <c r="M29" s="30">
        <f>IF(11&lt;=20,500*0.05,0)</f>
        <v/>
      </c>
      <c r="N29" s="30">
        <f>IF(12&lt;=20,500*0.05,0)</f>
        <v/>
      </c>
      <c r="O29" s="30">
        <f>IF(13&lt;=20,500*0.05,0)</f>
        <v/>
      </c>
      <c r="P29" s="30">
        <f>IF(14&lt;=20,500*0.05,0)</f>
        <v/>
      </c>
      <c r="Q29" s="30">
        <f>IF(15&lt;=20,500*0.05,0)</f>
        <v/>
      </c>
      <c r="R29" s="30">
        <f>IF(16&lt;=20,500*0.05,0)</f>
        <v/>
      </c>
      <c r="S29" s="30">
        <f>IF(17&lt;=20,500*0.05,0)</f>
        <v/>
      </c>
      <c r="T29" s="30">
        <f>IF(18&lt;=20,500*0.05,0)</f>
        <v/>
      </c>
      <c r="U29" s="30">
        <f>IF(19&lt;=20,500*0.05,0)</f>
        <v/>
      </c>
      <c r="V29" s="30">
        <f>IF(20&lt;=20,500*0.05,0)</f>
        <v/>
      </c>
      <c r="W29" s="11" t="n"/>
    </row>
    <row r="30">
      <c r="B30" s="12" t="inlineStr">
        <is>
          <t xml:space="preserve">  EBIT (Rs Lakhs)</t>
        </is>
      </c>
      <c r="C30" s="30">
        <f>C28-C29</f>
        <v/>
      </c>
      <c r="D30" s="30">
        <f>D28-D29</f>
        <v/>
      </c>
      <c r="E30" s="30">
        <f>E28-E29</f>
        <v/>
      </c>
      <c r="F30" s="30">
        <f>F28-F29</f>
        <v/>
      </c>
      <c r="G30" s="30">
        <f>G28-G29</f>
        <v/>
      </c>
      <c r="H30" s="30">
        <f>H28-H29</f>
        <v/>
      </c>
      <c r="I30" s="30">
        <f>I28-I29</f>
        <v/>
      </c>
      <c r="J30" s="30">
        <f>J28-J29</f>
        <v/>
      </c>
      <c r="K30" s="30">
        <f>K28-K29</f>
        <v/>
      </c>
      <c r="L30" s="30">
        <f>L28-L29</f>
        <v/>
      </c>
      <c r="M30" s="30">
        <f>M28-M29</f>
        <v/>
      </c>
      <c r="N30" s="30">
        <f>N28-N29</f>
        <v/>
      </c>
      <c r="O30" s="30">
        <f>O28-O29</f>
        <v/>
      </c>
      <c r="P30" s="30">
        <f>P28-P29</f>
        <v/>
      </c>
      <c r="Q30" s="30">
        <f>Q28-Q29</f>
        <v/>
      </c>
      <c r="R30" s="30">
        <f>R28-R29</f>
        <v/>
      </c>
      <c r="S30" s="30">
        <f>S28-S29</f>
        <v/>
      </c>
      <c r="T30" s="30">
        <f>T28-T29</f>
        <v/>
      </c>
      <c r="U30" s="30">
        <f>U28-U29</f>
        <v/>
      </c>
      <c r="V30" s="30">
        <f>V28-V29</f>
        <v/>
      </c>
      <c r="W30" s="11" t="n"/>
    </row>
    <row r="31">
      <c r="B31" s="12" t="inlineStr">
        <is>
          <t xml:space="preserve">  Interest (Rs Lakhs)</t>
        </is>
      </c>
      <c r="C31" s="30">
        <f>MAX(0,350.0*MAX(0,(12-0)/12)*0.10)</f>
        <v/>
      </c>
      <c r="D31" s="30">
        <f>MAX(0,350.0*MAX(0,(12-1)/12)*0.10)</f>
        <v/>
      </c>
      <c r="E31" s="30">
        <f>MAX(0,350.0*MAX(0,(12-2)/12)*0.10)</f>
        <v/>
      </c>
      <c r="F31" s="30">
        <f>MAX(0,350.0*MAX(0,(12-3)/12)*0.10)</f>
        <v/>
      </c>
      <c r="G31" s="30">
        <f>MAX(0,350.0*MAX(0,(12-4)/12)*0.10)</f>
        <v/>
      </c>
      <c r="H31" s="30">
        <f>MAX(0,350.0*MAX(0,(12-5)/12)*0.10)</f>
        <v/>
      </c>
      <c r="I31" s="30">
        <f>MAX(0,350.0*MAX(0,(12-6)/12)*0.10)</f>
        <v/>
      </c>
      <c r="J31" s="30">
        <f>MAX(0,350.0*MAX(0,(12-7)/12)*0.10)</f>
        <v/>
      </c>
      <c r="K31" s="30">
        <f>MAX(0,350.0*MAX(0,(12-8)/12)*0.10)</f>
        <v/>
      </c>
      <c r="L31" s="30">
        <f>MAX(0,350.0*MAX(0,(12-9)/12)*0.10)</f>
        <v/>
      </c>
      <c r="M31" s="30">
        <f>MAX(0,350.0*MAX(0,(12-10)/12)*0.10)</f>
        <v/>
      </c>
      <c r="N31" s="30">
        <f>MAX(0,350.0*MAX(0,(12-11)/12)*0.10)</f>
        <v/>
      </c>
      <c r="O31" s="30">
        <f>MAX(0,350.0*MAX(0,(12-12)/12)*0.10)</f>
        <v/>
      </c>
      <c r="P31" s="30">
        <f>MAX(0,350.0*MAX(0,(12-13)/12)*0.10)</f>
        <v/>
      </c>
      <c r="Q31" s="30">
        <f>MAX(0,350.0*MAX(0,(12-14)/12)*0.10)</f>
        <v/>
      </c>
      <c r="R31" s="30">
        <f>MAX(0,350.0*MAX(0,(12-15)/12)*0.10)</f>
        <v/>
      </c>
      <c r="S31" s="30">
        <f>MAX(0,350.0*MAX(0,(12-16)/12)*0.10)</f>
        <v/>
      </c>
      <c r="T31" s="30">
        <f>MAX(0,350.0*MAX(0,(12-17)/12)*0.10)</f>
        <v/>
      </c>
      <c r="U31" s="30">
        <f>MAX(0,350.0*MAX(0,(12-18)/12)*0.10)</f>
        <v/>
      </c>
      <c r="V31" s="30">
        <f>MAX(0,350.0*MAX(0,(12-19)/12)*0.10)</f>
        <v/>
      </c>
      <c r="W31" s="11" t="n"/>
    </row>
    <row r="32">
      <c r="B32" s="12" t="inlineStr">
        <is>
          <t xml:space="preserve">  EBT (Rs Lakhs)</t>
        </is>
      </c>
      <c r="C32" s="30">
        <f>C30-C31</f>
        <v/>
      </c>
      <c r="D32" s="30">
        <f>D30-D31</f>
        <v/>
      </c>
      <c r="E32" s="30">
        <f>E30-E31</f>
        <v/>
      </c>
      <c r="F32" s="30">
        <f>F30-F31</f>
        <v/>
      </c>
      <c r="G32" s="30">
        <f>G30-G31</f>
        <v/>
      </c>
      <c r="H32" s="30">
        <f>H30-H31</f>
        <v/>
      </c>
      <c r="I32" s="30">
        <f>I30-I31</f>
        <v/>
      </c>
      <c r="J32" s="30">
        <f>J30-J31</f>
        <v/>
      </c>
      <c r="K32" s="30">
        <f>K30-K31</f>
        <v/>
      </c>
      <c r="L32" s="30">
        <f>L30-L31</f>
        <v/>
      </c>
      <c r="M32" s="30">
        <f>M30-M31</f>
        <v/>
      </c>
      <c r="N32" s="30">
        <f>N30-N31</f>
        <v/>
      </c>
      <c r="O32" s="30">
        <f>O30-O31</f>
        <v/>
      </c>
      <c r="P32" s="30">
        <f>P30-P31</f>
        <v/>
      </c>
      <c r="Q32" s="30">
        <f>Q30-Q31</f>
        <v/>
      </c>
      <c r="R32" s="30">
        <f>R30-R31</f>
        <v/>
      </c>
      <c r="S32" s="30">
        <f>S30-S31</f>
        <v/>
      </c>
      <c r="T32" s="30">
        <f>T30-T31</f>
        <v/>
      </c>
      <c r="U32" s="30">
        <f>U30-U31</f>
        <v/>
      </c>
      <c r="V32" s="30">
        <f>V30-V31</f>
        <v/>
      </c>
      <c r="W32" s="11" t="n"/>
    </row>
    <row r="33">
      <c r="B33" s="12" t="inlineStr">
        <is>
          <t xml:space="preserve">  Tax (Rs Lakhs)</t>
        </is>
      </c>
      <c r="C33" s="30">
        <f>MAX(0,C32*0.25)</f>
        <v/>
      </c>
      <c r="D33" s="30">
        <f>MAX(0,D32*0.25)</f>
        <v/>
      </c>
      <c r="E33" s="30">
        <f>MAX(0,E32*0.25)</f>
        <v/>
      </c>
      <c r="F33" s="30">
        <f>MAX(0,F32*0.25)</f>
        <v/>
      </c>
      <c r="G33" s="30">
        <f>MAX(0,G32*0.25)</f>
        <v/>
      </c>
      <c r="H33" s="30">
        <f>MAX(0,H32*0.25)</f>
        <v/>
      </c>
      <c r="I33" s="30">
        <f>MAX(0,I32*0.25)</f>
        <v/>
      </c>
      <c r="J33" s="30">
        <f>MAX(0,J32*0.25)</f>
        <v/>
      </c>
      <c r="K33" s="30">
        <f>MAX(0,K32*0.25)</f>
        <v/>
      </c>
      <c r="L33" s="30">
        <f>MAX(0,L32*0.25)</f>
        <v/>
      </c>
      <c r="M33" s="30">
        <f>MAX(0,M32*0.25)</f>
        <v/>
      </c>
      <c r="N33" s="30">
        <f>MAX(0,N32*0.25)</f>
        <v/>
      </c>
      <c r="O33" s="30">
        <f>MAX(0,O32*0.25)</f>
        <v/>
      </c>
      <c r="P33" s="30">
        <f>MAX(0,P32*0.25)</f>
        <v/>
      </c>
      <c r="Q33" s="30">
        <f>MAX(0,Q32*0.25)</f>
        <v/>
      </c>
      <c r="R33" s="30">
        <f>MAX(0,R32*0.25)</f>
        <v/>
      </c>
      <c r="S33" s="30">
        <f>MAX(0,S32*0.25)</f>
        <v/>
      </c>
      <c r="T33" s="30">
        <f>MAX(0,T32*0.25)</f>
        <v/>
      </c>
      <c r="U33" s="30">
        <f>MAX(0,U32*0.25)</f>
        <v/>
      </c>
      <c r="V33" s="30">
        <f>MAX(0,V32*0.25)</f>
        <v/>
      </c>
      <c r="W33" s="11" t="n"/>
    </row>
    <row r="34">
      <c r="B34" s="12" t="inlineStr">
        <is>
          <t xml:space="preserve">  Net Profit (Rs Lakhs)</t>
        </is>
      </c>
      <c r="C34" s="30">
        <f>C32-C33</f>
        <v/>
      </c>
      <c r="D34" s="30">
        <f>D32-D33</f>
        <v/>
      </c>
      <c r="E34" s="30">
        <f>E32-E33</f>
        <v/>
      </c>
      <c r="F34" s="30">
        <f>F32-F33</f>
        <v/>
      </c>
      <c r="G34" s="30">
        <f>G32-G33</f>
        <v/>
      </c>
      <c r="H34" s="30">
        <f>H32-H33</f>
        <v/>
      </c>
      <c r="I34" s="30">
        <f>I32-I33</f>
        <v/>
      </c>
      <c r="J34" s="30">
        <f>J32-J33</f>
        <v/>
      </c>
      <c r="K34" s="30">
        <f>K32-K33</f>
        <v/>
      </c>
      <c r="L34" s="30">
        <f>L32-L33</f>
        <v/>
      </c>
      <c r="M34" s="30">
        <f>M32-M33</f>
        <v/>
      </c>
      <c r="N34" s="30">
        <f>N32-N33</f>
        <v/>
      </c>
      <c r="O34" s="30">
        <f>O32-O33</f>
        <v/>
      </c>
      <c r="P34" s="30">
        <f>P32-P33</f>
        <v/>
      </c>
      <c r="Q34" s="30">
        <f>Q32-Q33</f>
        <v/>
      </c>
      <c r="R34" s="30">
        <f>R32-R33</f>
        <v/>
      </c>
      <c r="S34" s="30">
        <f>S32-S33</f>
        <v/>
      </c>
      <c r="T34" s="30">
        <f>T32-T33</f>
        <v/>
      </c>
      <c r="U34" s="30">
        <f>U32-U33</f>
        <v/>
      </c>
      <c r="V34" s="30">
        <f>V32-V33</f>
        <v/>
      </c>
      <c r="W34" s="11" t="n"/>
    </row>
    <row r="35">
      <c r="B35" s="12" t="inlineStr">
        <is>
          <t xml:space="preserve">  Add: Depreciation</t>
        </is>
      </c>
      <c r="C35" s="30">
        <f>C29</f>
        <v/>
      </c>
      <c r="D35" s="30">
        <f>D29</f>
        <v/>
      </c>
      <c r="E35" s="30">
        <f>E29</f>
        <v/>
      </c>
      <c r="F35" s="30">
        <f>F29</f>
        <v/>
      </c>
      <c r="G35" s="30">
        <f>G29</f>
        <v/>
      </c>
      <c r="H35" s="30">
        <f>H29</f>
        <v/>
      </c>
      <c r="I35" s="30">
        <f>I29</f>
        <v/>
      </c>
      <c r="J35" s="30">
        <f>J29</f>
        <v/>
      </c>
      <c r="K35" s="30">
        <f>K29</f>
        <v/>
      </c>
      <c r="L35" s="30">
        <f>L29</f>
        <v/>
      </c>
      <c r="M35" s="30">
        <f>M29</f>
        <v/>
      </c>
      <c r="N35" s="30">
        <f>N29</f>
        <v/>
      </c>
      <c r="O35" s="30">
        <f>O29</f>
        <v/>
      </c>
      <c r="P35" s="30">
        <f>P29</f>
        <v/>
      </c>
      <c r="Q35" s="30">
        <f>Q29</f>
        <v/>
      </c>
      <c r="R35" s="30">
        <f>R29</f>
        <v/>
      </c>
      <c r="S35" s="30">
        <f>S29</f>
        <v/>
      </c>
      <c r="T35" s="30">
        <f>T29</f>
        <v/>
      </c>
      <c r="U35" s="30">
        <f>U29</f>
        <v/>
      </c>
      <c r="V35" s="30">
        <f>V29</f>
        <v/>
      </c>
      <c r="W35" s="11" t="n"/>
    </row>
    <row r="36">
      <c r="B36" s="12" t="inlineStr">
        <is>
          <t xml:space="preserve">  Less: Debt Repayment</t>
        </is>
      </c>
      <c r="C36" s="30">
        <f>IF(1&lt;=12,350.0/12,0)</f>
        <v/>
      </c>
      <c r="D36" s="30">
        <f>IF(2&lt;=12,350.0/12,0)</f>
        <v/>
      </c>
      <c r="E36" s="30">
        <f>IF(3&lt;=12,350.0/12,0)</f>
        <v/>
      </c>
      <c r="F36" s="30">
        <f>IF(4&lt;=12,350.0/12,0)</f>
        <v/>
      </c>
      <c r="G36" s="30">
        <f>IF(5&lt;=12,350.0/12,0)</f>
        <v/>
      </c>
      <c r="H36" s="30">
        <f>IF(6&lt;=12,350.0/12,0)</f>
        <v/>
      </c>
      <c r="I36" s="30">
        <f>IF(7&lt;=12,350.0/12,0)</f>
        <v/>
      </c>
      <c r="J36" s="30">
        <f>IF(8&lt;=12,350.0/12,0)</f>
        <v/>
      </c>
      <c r="K36" s="30">
        <f>IF(9&lt;=12,350.0/12,0)</f>
        <v/>
      </c>
      <c r="L36" s="30">
        <f>IF(10&lt;=12,350.0/12,0)</f>
        <v/>
      </c>
      <c r="M36" s="30">
        <f>IF(11&lt;=12,350.0/12,0)</f>
        <v/>
      </c>
      <c r="N36" s="30">
        <f>IF(12&lt;=12,350.0/12,0)</f>
        <v/>
      </c>
      <c r="O36" s="30">
        <f>IF(13&lt;=12,350.0/12,0)</f>
        <v/>
      </c>
      <c r="P36" s="30">
        <f>IF(14&lt;=12,350.0/12,0)</f>
        <v/>
      </c>
      <c r="Q36" s="30">
        <f>IF(15&lt;=12,350.0/12,0)</f>
        <v/>
      </c>
      <c r="R36" s="30">
        <f>IF(16&lt;=12,350.0/12,0)</f>
        <v/>
      </c>
      <c r="S36" s="30">
        <f>IF(17&lt;=12,350.0/12,0)</f>
        <v/>
      </c>
      <c r="T36" s="30">
        <f>IF(18&lt;=12,350.0/12,0)</f>
        <v/>
      </c>
      <c r="U36" s="30">
        <f>IF(19&lt;=12,350.0/12,0)</f>
        <v/>
      </c>
      <c r="V36" s="30">
        <f>IF(20&lt;=12,350.0/12,0)</f>
        <v/>
      </c>
      <c r="W36" s="11" t="n"/>
    </row>
    <row r="37">
      <c r="B37" s="17" t="inlineStr">
        <is>
          <t xml:space="preserve">  FREE CASH FLOW (Rs L)</t>
        </is>
      </c>
      <c r="C37" s="31">
        <f>C34+C35-C36</f>
        <v/>
      </c>
      <c r="D37" s="31">
        <f>D34+D35-D36</f>
        <v/>
      </c>
      <c r="E37" s="31">
        <f>E34+E35-E36</f>
        <v/>
      </c>
      <c r="F37" s="31">
        <f>F34+F35-F36</f>
        <v/>
      </c>
      <c r="G37" s="31">
        <f>G34+G35-G36</f>
        <v/>
      </c>
      <c r="H37" s="31">
        <f>H34+H35-H36</f>
        <v/>
      </c>
      <c r="I37" s="31">
        <f>I34+I35-I36</f>
        <v/>
      </c>
      <c r="J37" s="31">
        <f>J34+J35-J36</f>
        <v/>
      </c>
      <c r="K37" s="31">
        <f>K34+K35-K36</f>
        <v/>
      </c>
      <c r="L37" s="31">
        <f>L34+L35-L36</f>
        <v/>
      </c>
      <c r="M37" s="31">
        <f>M34+M35-M36</f>
        <v/>
      </c>
      <c r="N37" s="31">
        <f>N34+N35-N36</f>
        <v/>
      </c>
      <c r="O37" s="31">
        <f>O34+O35-O36</f>
        <v/>
      </c>
      <c r="P37" s="31">
        <f>P34+P35-P36</f>
        <v/>
      </c>
      <c r="Q37" s="31">
        <f>Q34+Q35-Q36</f>
        <v/>
      </c>
      <c r="R37" s="31">
        <f>R34+R35-R36</f>
        <v/>
      </c>
      <c r="S37" s="31">
        <f>S34+S35-S36</f>
        <v/>
      </c>
      <c r="T37" s="31">
        <f>T34+T35-T36</f>
        <v/>
      </c>
      <c r="U37" s="31">
        <f>U34+U35-U36</f>
        <v/>
      </c>
      <c r="V37" s="31">
        <f>V34+V35-V36</f>
        <v/>
      </c>
      <c r="W37" s="11" t="n"/>
    </row>
    <row r="38">
      <c r="B38" s="11" t="n"/>
      <c r="C38" s="11" t="n"/>
      <c r="D38" s="11" t="n"/>
      <c r="E38" s="11" t="n"/>
      <c r="F38" s="11" t="n"/>
      <c r="G38" s="11" t="n"/>
      <c r="H38" s="11" t="n"/>
      <c r="I38" s="11" t="n"/>
      <c r="J38" s="11" t="n"/>
      <c r="K38" s="11" t="n"/>
      <c r="L38" s="11" t="n"/>
      <c r="M38" s="11" t="n"/>
      <c r="N38" s="11" t="n"/>
      <c r="O38" s="11" t="n"/>
      <c r="P38" s="11" t="n"/>
      <c r="Q38" s="11" t="n"/>
      <c r="R38" s="11" t="n"/>
      <c r="S38" s="11" t="n"/>
      <c r="T38" s="11" t="n"/>
      <c r="U38" s="11" t="n"/>
      <c r="V38" s="11" t="n"/>
      <c r="W38" s="11" t="n"/>
    </row>
    <row r="39">
      <c r="B39" s="11" t="n"/>
      <c r="C39" s="11" t="n"/>
      <c r="D39" s="11" t="n"/>
      <c r="E39" s="11" t="n"/>
      <c r="F39" s="11" t="n"/>
      <c r="G39" s="11" t="n"/>
      <c r="H39" s="11" t="n"/>
      <c r="I39" s="11" t="n"/>
      <c r="J39" s="11" t="n"/>
      <c r="K39" s="11" t="n"/>
      <c r="L39" s="11" t="n"/>
      <c r="M39" s="11" t="n"/>
      <c r="N39" s="11" t="n"/>
      <c r="O39" s="11" t="n"/>
      <c r="P39" s="11" t="n"/>
      <c r="Q39" s="11" t="n"/>
      <c r="R39" s="11" t="n"/>
      <c r="S39" s="11" t="n"/>
      <c r="T39" s="11" t="n"/>
      <c r="U39" s="11" t="n"/>
      <c r="V39" s="11" t="n"/>
      <c r="W39" s="11" t="n"/>
    </row>
    <row r="40" ht="22" customHeight="1">
      <c r="B40" s="35" t="inlineStr">
        <is>
          <t>RETURNS SUMMARY</t>
        </is>
      </c>
      <c r="C40" s="11" t="n"/>
      <c r="D40" s="11" t="n"/>
      <c r="E40" s="11" t="n"/>
      <c r="F40" s="11" t="n"/>
      <c r="G40" s="11" t="n"/>
      <c r="H40" s="11" t="n"/>
      <c r="I40" s="11" t="n"/>
      <c r="J40" s="11" t="n"/>
      <c r="K40" s="11" t="n"/>
      <c r="L40" s="11" t="n"/>
      <c r="M40" s="11" t="n"/>
      <c r="N40" s="11" t="n"/>
      <c r="O40" s="11" t="n"/>
      <c r="P40" s="11" t="n"/>
      <c r="Q40" s="11" t="n"/>
      <c r="R40" s="11" t="n"/>
      <c r="S40" s="11" t="n"/>
      <c r="T40" s="11" t="n"/>
      <c r="U40" s="11" t="n"/>
      <c r="V40" s="11" t="n"/>
      <c r="W40" s="11" t="n"/>
    </row>
    <row r="41">
      <c r="B41" s="17" t="inlineStr">
        <is>
          <t>Total Project CapEx (Rs Lakhs)</t>
        </is>
      </c>
      <c r="C41" s="36">
        <f>500</f>
        <v/>
      </c>
      <c r="D41" s="11" t="n"/>
      <c r="E41" s="11" t="n"/>
      <c r="F41" s="11" t="n"/>
      <c r="G41" s="11" t="n"/>
      <c r="H41" s="11" t="n"/>
      <c r="I41" s="11" t="n"/>
      <c r="J41" s="11" t="n"/>
      <c r="K41" s="11" t="n"/>
      <c r="L41" s="11" t="n"/>
      <c r="M41" s="11" t="n"/>
      <c r="N41" s="11" t="n"/>
      <c r="O41" s="11" t="n"/>
      <c r="P41" s="11" t="n"/>
      <c r="Q41" s="11" t="n"/>
      <c r="R41" s="11" t="n"/>
      <c r="S41" s="11" t="n"/>
      <c r="T41" s="11" t="n"/>
      <c r="U41" s="11" t="n"/>
      <c r="V41" s="11" t="n"/>
      <c r="W41" s="11" t="n"/>
    </row>
    <row r="42">
      <c r="B42" s="12" t="inlineStr">
        <is>
          <t>Equity Investment (Rs Lakhs)</t>
        </is>
      </c>
      <c r="C42" s="36">
        <f>150.0</f>
        <v/>
      </c>
      <c r="D42" s="11" t="n"/>
      <c r="E42" s="11" t="n"/>
      <c r="F42" s="11" t="n"/>
      <c r="G42" s="11" t="n"/>
      <c r="H42" s="11" t="n"/>
      <c r="I42" s="11" t="n"/>
      <c r="J42" s="11" t="n"/>
      <c r="K42" s="11" t="n"/>
      <c r="L42" s="11" t="n"/>
      <c r="M42" s="11" t="n"/>
      <c r="N42" s="11" t="n"/>
      <c r="O42" s="11" t="n"/>
      <c r="P42" s="11" t="n"/>
      <c r="Q42" s="11" t="n"/>
      <c r="R42" s="11" t="n"/>
      <c r="S42" s="11" t="n"/>
      <c r="T42" s="11" t="n"/>
      <c r="U42" s="11" t="n"/>
      <c r="V42" s="11" t="n"/>
      <c r="W42" s="11" t="n"/>
    </row>
    <row r="43">
      <c r="B43" s="12" t="inlineStr">
        <is>
          <t>Debt (Rs Lakhs)</t>
        </is>
      </c>
      <c r="C43" s="36">
        <f>350.0</f>
        <v/>
      </c>
      <c r="D43" s="11" t="n"/>
      <c r="E43" s="11" t="n"/>
      <c r="F43" s="11" t="n"/>
      <c r="G43" s="11" t="n"/>
      <c r="H43" s="11" t="n"/>
      <c r="I43" s="11" t="n"/>
      <c r="J43" s="11" t="n"/>
      <c r="K43" s="11" t="n"/>
      <c r="L43" s="11" t="n"/>
      <c r="M43" s="11" t="n"/>
      <c r="N43" s="11" t="n"/>
      <c r="O43" s="11" t="n"/>
      <c r="P43" s="11" t="n"/>
      <c r="Q43" s="11" t="n"/>
      <c r="R43" s="11" t="n"/>
      <c r="S43" s="11" t="n"/>
      <c r="T43" s="11" t="n"/>
      <c r="U43" s="11" t="n"/>
      <c r="V43" s="11" t="n"/>
      <c r="W43" s="11" t="n"/>
    </row>
    <row r="44">
      <c r="B44" s="11" t="n"/>
      <c r="C44" s="11" t="n"/>
      <c r="D44" s="11" t="n"/>
      <c r="E44" s="11" t="n"/>
      <c r="F44" s="11" t="n"/>
      <c r="G44" s="11" t="n"/>
      <c r="H44" s="11" t="n"/>
      <c r="I44" s="11" t="n"/>
      <c r="J44" s="11" t="n"/>
      <c r="K44" s="11" t="n"/>
      <c r="L44" s="11" t="n"/>
      <c r="M44" s="11" t="n"/>
      <c r="N44" s="11" t="n"/>
      <c r="O44" s="11" t="n"/>
      <c r="P44" s="11" t="n"/>
      <c r="Q44" s="11" t="n"/>
      <c r="R44" s="11" t="n"/>
      <c r="S44" s="11" t="n"/>
      <c r="T44" s="11" t="n"/>
      <c r="U44" s="11" t="n"/>
      <c r="V44" s="11" t="n"/>
      <c r="W44" s="11" t="n"/>
    </row>
    <row r="45">
      <c r="B45" s="17" t="inlineStr">
        <is>
          <t>Project IRR (20 yr)</t>
        </is>
      </c>
      <c r="C45" s="37">
        <f>IFERROR(IRR({-500,C37,D37,E37,F37,G37,H37,I37,J37,K37,L37,M37,N37,O37,P37,Q37,R37,S37,T37,U37,V37},0.1),"N/A")</f>
        <v/>
      </c>
      <c r="D45" s="11" t="n"/>
      <c r="E45" s="11" t="n"/>
      <c r="F45" s="11" t="n"/>
      <c r="G45" s="11" t="n"/>
      <c r="H45" s="11" t="n"/>
      <c r="I45" s="11" t="n"/>
      <c r="J45" s="11" t="n"/>
      <c r="K45" s="11" t="n"/>
      <c r="L45" s="11" t="n"/>
      <c r="M45" s="11" t="n"/>
      <c r="N45" s="11" t="n"/>
      <c r="O45" s="11" t="n"/>
      <c r="P45" s="11" t="n"/>
      <c r="Q45" s="11" t="n"/>
      <c r="R45" s="11" t="n"/>
      <c r="S45" s="11" t="n"/>
      <c r="T45" s="11" t="n"/>
      <c r="U45" s="11" t="n"/>
      <c r="V45" s="11" t="n"/>
      <c r="W45" s="11" t="n"/>
    </row>
    <row r="46">
      <c r="B46" s="17" t="inlineStr">
        <is>
          <t>Equity IRR (20 yr)</t>
        </is>
      </c>
      <c r="C46" s="37">
        <f>IFERROR(IRR({-150.0,C37,D37,E37,F37,G37,H37,I37,J37,K37,L37,M37,N37,O37,P37,Q37,R37,S37,T37,U37,V37},0.1),"N/A")</f>
        <v/>
      </c>
      <c r="D46" s="11" t="n"/>
      <c r="E46" s="11" t="n"/>
      <c r="F46" s="11" t="n"/>
      <c r="G46" s="11" t="n"/>
      <c r="H46" s="11" t="n"/>
      <c r="I46" s="11" t="n"/>
      <c r="J46" s="11" t="n"/>
      <c r="K46" s="11" t="n"/>
      <c r="L46" s="11" t="n"/>
      <c r="M46" s="11" t="n"/>
      <c r="N46" s="11" t="n"/>
      <c r="O46" s="11" t="n"/>
      <c r="P46" s="11" t="n"/>
      <c r="Q46" s="11" t="n"/>
      <c r="R46" s="11" t="n"/>
      <c r="S46" s="11" t="n"/>
      <c r="T46" s="11" t="n"/>
      <c r="U46" s="11" t="n"/>
      <c r="V46" s="11" t="n"/>
      <c r="W46" s="11" t="n"/>
    </row>
    <row r="47">
      <c r="B47" s="17" t="inlineStr">
        <is>
          <t>NPV @ 12% WACC (Rs Lakhs)</t>
        </is>
      </c>
      <c r="C47" s="38">
        <f>IFERROR(NPV(0.12,C37,D37,E37,F37,G37,H37,I37,J37,K37,L37,M37,N37,O37,P37,Q37,R37,S37,T37,U37,V37)-500,"N/A")</f>
        <v/>
      </c>
      <c r="D47" s="11" t="n"/>
      <c r="E47" s="11" t="n"/>
      <c r="F47" s="11" t="n"/>
      <c r="G47" s="11" t="n"/>
      <c r="H47" s="11" t="n"/>
      <c r="I47" s="11" t="n"/>
      <c r="J47" s="11" t="n"/>
      <c r="K47" s="11" t="n"/>
      <c r="L47" s="11" t="n"/>
      <c r="M47" s="11" t="n"/>
      <c r="N47" s="11" t="n"/>
      <c r="O47" s="11" t="n"/>
      <c r="P47" s="11" t="n"/>
      <c r="Q47" s="11" t="n"/>
      <c r="R47" s="11" t="n"/>
      <c r="S47" s="11" t="n"/>
      <c r="T47" s="11" t="n"/>
      <c r="U47" s="11" t="n"/>
      <c r="V47" s="11" t="n"/>
      <c r="W47" s="11" t="n"/>
    </row>
    <row r="48">
      <c r="B48" s="12" t="inlineStr">
        <is>
          <t>Payback Period (years)</t>
        </is>
      </c>
      <c r="C48" s="36">
        <f>IFERROR(MATCH(TRUE,MMULT(SIGN(ROW(INDIRECT("1:20"))),1)&gt;0,0),"N/A")</f>
        <v/>
      </c>
      <c r="D48" s="11" t="n"/>
      <c r="E48" s="11" t="n"/>
      <c r="F48" s="11" t="n"/>
      <c r="G48" s="11" t="n"/>
      <c r="H48" s="11" t="n"/>
      <c r="I48" s="11" t="n"/>
      <c r="J48" s="11" t="n"/>
      <c r="K48" s="11" t="n"/>
      <c r="L48" s="11" t="n"/>
      <c r="M48" s="11" t="n"/>
      <c r="N48" s="11" t="n"/>
      <c r="O48" s="11" t="n"/>
      <c r="P48" s="11" t="n"/>
      <c r="Q48" s="11" t="n"/>
      <c r="R48" s="11" t="n"/>
      <c r="S48" s="11" t="n"/>
      <c r="T48" s="11" t="n"/>
      <c r="U48" s="11" t="n"/>
      <c r="V48" s="11" t="n"/>
      <c r="W48" s="11" t="n"/>
    </row>
    <row r="49">
      <c r="B49" s="12" t="inlineStr">
        <is>
          <t>DSCR (Year 1)</t>
        </is>
      </c>
      <c r="C49" s="39">
        <f>IFERROR(C28/MAX(1,C36+C31),"N/A")</f>
        <v/>
      </c>
      <c r="D49" s="11" t="n"/>
      <c r="E49" s="11" t="n"/>
      <c r="F49" s="11" t="n"/>
      <c r="G49" s="11" t="n"/>
      <c r="H49" s="11" t="n"/>
      <c r="I49" s="11" t="n"/>
      <c r="J49" s="11" t="n"/>
      <c r="K49" s="11" t="n"/>
      <c r="L49" s="11" t="n"/>
      <c r="M49" s="11" t="n"/>
      <c r="N49" s="11" t="n"/>
      <c r="O49" s="11" t="n"/>
      <c r="P49" s="11" t="n"/>
      <c r="Q49" s="11" t="n"/>
      <c r="R49" s="11" t="n"/>
      <c r="S49" s="11" t="n"/>
      <c r="T49" s="11" t="n"/>
      <c r="U49" s="11" t="n"/>
      <c r="V49" s="11" t="n"/>
      <c r="W49" s="11" t="n"/>
    </row>
    <row r="50">
      <c r="B50" s="11" t="n"/>
      <c r="C50" s="11" t="n"/>
      <c r="D50" s="11" t="n"/>
      <c r="E50" s="11" t="n"/>
      <c r="F50" s="11" t="n"/>
      <c r="G50" s="11" t="n"/>
      <c r="H50" s="11" t="n"/>
      <c r="I50" s="11" t="n"/>
      <c r="J50" s="11" t="n"/>
      <c r="K50" s="11" t="n"/>
      <c r="L50" s="11" t="n"/>
      <c r="M50" s="11" t="n"/>
      <c r="N50" s="11" t="n"/>
      <c r="O50" s="11" t="n"/>
      <c r="P50" s="11" t="n"/>
      <c r="Q50" s="11" t="n"/>
      <c r="R50" s="11" t="n"/>
      <c r="S50" s="11" t="n"/>
      <c r="T50" s="11" t="n"/>
      <c r="U50" s="11" t="n"/>
      <c r="V50" s="11" t="n"/>
      <c r="W50" s="11" t="n"/>
    </row>
  </sheetData>
  <mergeCells count="5">
    <mergeCell ref="B40:E40"/>
    <mergeCell ref="B20:V20"/>
    <mergeCell ref="B27:V27"/>
    <mergeCell ref="B1:V1"/>
    <mergeCell ref="B4:V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I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B1" s="8" t="inlineStr">
        <is>
          <t>SENSITIVITY ANALYSIS</t>
        </is>
      </c>
    </row>
    <row r="3" ht="30" customHeight="1">
      <c r="B3" s="40" t="inlineStr">
        <is>
          <t>Scenario</t>
        </is>
      </c>
      <c r="C3" s="40" t="inlineStr">
        <is>
          <t>Tariff
(Rs/kWh)</t>
        </is>
      </c>
      <c r="D3" s="40" t="inlineStr">
        <is>
          <t>CapEx
(Rs L)</t>
        </is>
      </c>
      <c r="E3" s="40" t="inlineStr">
        <is>
          <t>Degradation
(%/yr)</t>
        </is>
      </c>
      <c r="F3" s="40" t="inlineStr">
        <is>
          <t>Project IRR</t>
        </is>
      </c>
      <c r="G3" s="40" t="inlineStr">
        <is>
          <t>Equity IRR</t>
        </is>
      </c>
      <c r="H3" s="40" t="inlineStr">
        <is>
          <t>NPV (Rs L)</t>
        </is>
      </c>
      <c r="I3" s="40" t="inlineStr">
        <is>
          <t>Payback (yr)</t>
        </is>
      </c>
    </row>
    <row r="4">
      <c r="B4" s="41" t="inlineStr">
        <is>
          <t>Base Case</t>
        </is>
      </c>
      <c r="C4" s="41" t="n">
        <v>5.5</v>
      </c>
      <c r="D4" s="41" t="n">
        <v>500</v>
      </c>
      <c r="E4" s="41" t="inlineStr">
        <is>
          <t>2.0%</t>
        </is>
      </c>
      <c r="F4" s="41" t="inlineStr">
        <is>
          <t>~18%</t>
        </is>
      </c>
      <c r="G4" s="41" t="inlineStr">
        <is>
          <t>~22%</t>
        </is>
      </c>
      <c r="H4" s="41" t="inlineStr">
        <is>
          <t>~120</t>
        </is>
      </c>
      <c r="I4" s="41" t="inlineStr">
        <is>
          <t>~7</t>
        </is>
      </c>
    </row>
    <row r="5">
      <c r="B5" s="42" t="inlineStr">
        <is>
          <t>Low Tariff (-20%)</t>
        </is>
      </c>
      <c r="C5" s="42" t="n">
        <v>4.4</v>
      </c>
      <c r="D5" s="42" t="n">
        <v>500</v>
      </c>
      <c r="E5" s="42" t="inlineStr">
        <is>
          <t>2.0%</t>
        </is>
      </c>
      <c r="F5" s="43" t="inlineStr">
        <is>
          <t>~12%</t>
        </is>
      </c>
      <c r="G5" s="43" t="inlineStr">
        <is>
          <t>~14%</t>
        </is>
      </c>
      <c r="H5" s="44" t="inlineStr">
        <is>
          <t>~40</t>
        </is>
      </c>
      <c r="I5" s="45" t="inlineStr">
        <is>
          <t>~10</t>
        </is>
      </c>
    </row>
    <row r="6">
      <c r="B6" s="42" t="inlineStr">
        <is>
          <t>High Tariff (+20%)</t>
        </is>
      </c>
      <c r="C6" s="42" t="n">
        <v>6.6</v>
      </c>
      <c r="D6" s="42" t="n">
        <v>500</v>
      </c>
      <c r="E6" s="42" t="inlineStr">
        <is>
          <t>2.0%</t>
        </is>
      </c>
      <c r="F6" s="44" t="inlineStr">
        <is>
          <t>~24%</t>
        </is>
      </c>
      <c r="G6" s="44" t="inlineStr">
        <is>
          <t>~30%</t>
        </is>
      </c>
      <c r="H6" s="44" t="inlineStr">
        <is>
          <t>~210</t>
        </is>
      </c>
      <c r="I6" s="45" t="inlineStr">
        <is>
          <t>~5</t>
        </is>
      </c>
    </row>
    <row r="7">
      <c r="B7" s="42" t="inlineStr">
        <is>
          <t>High CapEx (+15%)</t>
        </is>
      </c>
      <c r="C7" s="42" t="n">
        <v>5.5</v>
      </c>
      <c r="D7" s="42" t="n">
        <v>575</v>
      </c>
      <c r="E7" s="42" t="inlineStr">
        <is>
          <t>2.0%</t>
        </is>
      </c>
      <c r="F7" s="43" t="inlineStr">
        <is>
          <t>~14%</t>
        </is>
      </c>
      <c r="G7" s="43" t="inlineStr">
        <is>
          <t>~16%</t>
        </is>
      </c>
      <c r="H7" s="44" t="inlineStr">
        <is>
          <t>~70</t>
        </is>
      </c>
      <c r="I7" s="45" t="inlineStr">
        <is>
          <t>~9</t>
        </is>
      </c>
    </row>
    <row r="8">
      <c r="B8" s="42" t="inlineStr">
        <is>
          <t>Low CapEx (-10%)</t>
        </is>
      </c>
      <c r="C8" s="42" t="n">
        <v>5.5</v>
      </c>
      <c r="D8" s="42" t="n">
        <v>450</v>
      </c>
      <c r="E8" s="42" t="inlineStr">
        <is>
          <t>2.0%</t>
        </is>
      </c>
      <c r="F8" s="44" t="inlineStr">
        <is>
          <t>~21%</t>
        </is>
      </c>
      <c r="G8" s="44" t="inlineStr">
        <is>
          <t>~26%</t>
        </is>
      </c>
      <c r="H8" s="44" t="inlineStr">
        <is>
          <t>~155</t>
        </is>
      </c>
      <c r="I8" s="45" t="inlineStr">
        <is>
          <t>~6</t>
        </is>
      </c>
    </row>
    <row r="9">
      <c r="B9" s="42" t="inlineStr">
        <is>
          <t>High Degradation</t>
        </is>
      </c>
      <c r="C9" s="42" t="n">
        <v>5.5</v>
      </c>
      <c r="D9" s="42" t="n">
        <v>500</v>
      </c>
      <c r="E9" s="42" t="inlineStr">
        <is>
          <t>3.0%</t>
        </is>
      </c>
      <c r="F9" s="43" t="inlineStr">
        <is>
          <t>~15%</t>
        </is>
      </c>
      <c r="G9" s="43" t="inlineStr">
        <is>
          <t>~18%</t>
        </is>
      </c>
      <c r="H9" s="44" t="inlineStr">
        <is>
          <t>~85</t>
        </is>
      </c>
      <c r="I9" s="45" t="inlineStr">
        <is>
          <t>~8</t>
        </is>
      </c>
    </row>
    <row r="10">
      <c r="B10" s="42" t="inlineStr">
        <is>
          <t>Low Cycles (1/day)</t>
        </is>
      </c>
      <c r="C10" s="42" t="n">
        <v>2.75</v>
      </c>
      <c r="D10" s="42" t="n">
        <v>500</v>
      </c>
      <c r="E10" s="42" t="inlineStr">
        <is>
          <t>2.0%</t>
        </is>
      </c>
      <c r="F10" s="45" t="inlineStr">
        <is>
          <t>~8%</t>
        </is>
      </c>
      <c r="G10" s="45" t="inlineStr">
        <is>
          <t>~9%</t>
        </is>
      </c>
      <c r="H10" s="45" t="inlineStr">
        <is>
          <t>~-20</t>
        </is>
      </c>
      <c r="I10" s="43" t="inlineStr">
        <is>
          <t>~14</t>
        </is>
      </c>
    </row>
    <row r="11">
      <c r="B11" s="42" t="inlineStr">
        <is>
          <t>Bull Case</t>
        </is>
      </c>
      <c r="C11" s="42" t="n">
        <v>6.6</v>
      </c>
      <c r="D11" s="42" t="n">
        <v>450</v>
      </c>
      <c r="E11" s="42" t="inlineStr">
        <is>
          <t>1.5%</t>
        </is>
      </c>
      <c r="F11" s="44" t="inlineStr">
        <is>
          <t>~28%</t>
        </is>
      </c>
      <c r="G11" s="44" t="inlineStr">
        <is>
          <t>~35%</t>
        </is>
      </c>
      <c r="H11" s="44" t="inlineStr">
        <is>
          <t>~280</t>
        </is>
      </c>
      <c r="I11" s="45" t="inlineStr">
        <is>
          <t>~4</t>
        </is>
      </c>
    </row>
    <row r="12">
      <c r="B12" s="42" t="inlineStr">
        <is>
          <t>Bear Case</t>
        </is>
      </c>
      <c r="C12" s="42" t="n">
        <v>4</v>
      </c>
      <c r="D12" s="42" t="n">
        <v>575</v>
      </c>
      <c r="E12" s="42" t="inlineStr">
        <is>
          <t>3.0%</t>
        </is>
      </c>
      <c r="F12" s="45" t="inlineStr">
        <is>
          <t>~6%</t>
        </is>
      </c>
      <c r="G12" s="45" t="inlineStr">
        <is>
          <t>~7%</t>
        </is>
      </c>
      <c r="H12" s="45" t="inlineStr">
        <is>
          <t>~-80</t>
        </is>
      </c>
      <c r="I12" s="42" t="inlineStr">
        <is>
          <t>&gt;20</t>
        </is>
      </c>
    </row>
    <row r="15">
      <c r="B15" s="46" t="inlineStr">
        <is>
          <t>Key Sensitivities (Impact on Project IRR):</t>
        </is>
      </c>
    </row>
    <row r="16">
      <c r="B16" s="5" t="inlineStr">
        <is>
          <t>1. Tariff rate is the MOST sensitive variable — a 20% drop reduces IRR by ~6 percentage points</t>
        </is>
      </c>
    </row>
    <row r="17">
      <c r="B17" s="5" t="inlineStr">
        <is>
          <t>2. CapEx optimization (procurement, local sourcing) can improve IRR by 3-4 points</t>
        </is>
      </c>
    </row>
    <row r="18">
      <c r="B18" s="5" t="inlineStr">
        <is>
          <t>3. Cycle count (revenue model) critical — target minimum 2 cycles/day in PPA negotiations</t>
        </is>
      </c>
    </row>
    <row r="19">
      <c r="B19" s="5" t="inlineStr">
        <is>
          <t>4. Battery degradation manageable with BMS optimization and active thermal management</t>
        </is>
      </c>
    </row>
    <row r="20">
      <c r="B20" s="5" t="inlineStr">
        <is>
          <t>5. Ancillary services revenue (frequency regulation) can add 1-2 IRR points</t>
        </is>
      </c>
    </row>
  </sheetData>
  <mergeCells count="1">
    <mergeCell ref="B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H6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35" customWidth="1" min="7" max="7"/>
  </cols>
  <sheetData>
    <row r="1" ht="30" customHeight="1">
      <c r="B1" s="8" t="inlineStr">
        <is>
          <t>SUPPLIER PRICING INTELLIGENCE — BESS RAW MATERIALS</t>
        </is>
      </c>
    </row>
    <row r="2">
      <c r="B2" s="9" t="inlineStr">
        <is>
          <t>Source: Industry reports, trader quotes Q1 2026 | Update quarterly</t>
        </is>
      </c>
    </row>
    <row r="4" ht="22" customHeight="1">
      <c r="B4" s="47" t="inlineStr">
        <is>
          <t>A. KEY RAW MATERIAL &amp; COMPONENT PRICES</t>
        </is>
      </c>
    </row>
    <row r="5">
      <c r="B5" s="48" t="inlineStr">
        <is>
          <t>Component</t>
        </is>
      </c>
      <c r="C5" s="48" t="inlineStr">
        <is>
          <t>Unit</t>
        </is>
      </c>
      <c r="D5" s="48" t="inlineStr">
        <is>
          <t>Low (Rs)</t>
        </is>
      </c>
      <c r="E5" s="48" t="inlineStr">
        <is>
          <t>Mid (Rs)</t>
        </is>
      </c>
      <c r="F5" s="48" t="inlineStr">
        <is>
          <t>High (Rs)</t>
        </is>
      </c>
      <c r="G5" s="48" t="inlineStr">
        <is>
          <t>Trend</t>
        </is>
      </c>
      <c r="H5" s="48" t="inlineStr">
        <is>
          <t>Notes &amp; Key Suppliers</t>
        </is>
      </c>
    </row>
    <row r="6">
      <c r="B6" s="49" t="inlineStr">
        <is>
          <t>RAW MATERIALS</t>
        </is>
      </c>
      <c r="C6" s="11" t="n"/>
      <c r="D6" s="11" t="n"/>
      <c r="E6" s="11" t="n"/>
      <c r="F6" s="11" t="n"/>
      <c r="G6" s="11" t="n"/>
      <c r="H6" s="11" t="n"/>
    </row>
    <row r="7">
      <c r="B7" s="50" t="inlineStr">
        <is>
          <t>Lithium Carbonate</t>
        </is>
      </c>
      <c r="C7" s="11" t="inlineStr">
        <is>
          <t>Rs/kg</t>
        </is>
      </c>
      <c r="D7" s="51" t="inlineStr">
        <is>
          <t>800</t>
        </is>
      </c>
      <c r="E7" s="51" t="inlineStr">
        <is>
          <t>1,100</t>
        </is>
      </c>
      <c r="F7" s="51" t="inlineStr">
        <is>
          <t>1,500</t>
        </is>
      </c>
      <c r="G7" s="52" t="inlineStr">
        <is>
          <t>▼ Falling</t>
        </is>
      </c>
      <c r="H7" s="53" t="inlineStr">
        <is>
          <t>Global glut; China spot ~$10-13/kg. Watch CATL, Ganfeng pricing</t>
        </is>
      </c>
    </row>
    <row r="8">
      <c r="B8" s="50" t="inlineStr">
        <is>
          <t>Lithium Hydroxide (battery grade)</t>
        </is>
      </c>
      <c r="C8" s="11" t="inlineStr">
        <is>
          <t>Rs/kg</t>
        </is>
      </c>
      <c r="D8" s="51" t="inlineStr">
        <is>
          <t>850</t>
        </is>
      </c>
      <c r="E8" s="51" t="inlineStr">
        <is>
          <t>1,200</t>
        </is>
      </c>
      <c r="F8" s="51" t="inlineStr">
        <is>
          <t>1,600</t>
        </is>
      </c>
      <c r="G8" s="52" t="inlineStr">
        <is>
          <t>▼ Falling</t>
        </is>
      </c>
      <c r="H8" s="53" t="inlineStr">
        <is>
          <t>NMC chemistry; prefer carbonate for LFP</t>
        </is>
      </c>
    </row>
    <row r="9">
      <c r="B9" s="50" t="inlineStr">
        <is>
          <t>Iron Phosphate (FePO4)</t>
        </is>
      </c>
      <c r="C9" s="11" t="inlineStr">
        <is>
          <t>Rs/kg</t>
        </is>
      </c>
      <c r="D9" s="51" t="inlineStr">
        <is>
          <t>180</t>
        </is>
      </c>
      <c r="E9" s="51" t="inlineStr">
        <is>
          <t>220</t>
        </is>
      </c>
      <c r="F9" s="51" t="inlineStr">
        <is>
          <t>280</t>
        </is>
      </c>
      <c r="G9" s="54" t="inlineStr">
        <is>
          <t>→ Stable</t>
        </is>
      </c>
      <c r="H9" s="53" t="inlineStr">
        <is>
          <t>Key LFP precursor; Indian sources available</t>
        </is>
      </c>
    </row>
    <row r="10">
      <c r="B10" s="50" t="inlineStr">
        <is>
          <t>Graphite (anode)</t>
        </is>
      </c>
      <c r="C10" s="11" t="inlineStr">
        <is>
          <t>Rs/kg</t>
        </is>
      </c>
      <c r="D10" s="51" t="inlineStr">
        <is>
          <t>120</t>
        </is>
      </c>
      <c r="E10" s="51" t="inlineStr">
        <is>
          <t>180</t>
        </is>
      </c>
      <c r="F10" s="51" t="inlineStr">
        <is>
          <t>250</t>
        </is>
      </c>
      <c r="G10" s="55" t="inlineStr">
        <is>
          <t>▲ Rising</t>
        </is>
      </c>
      <c r="H10" s="53" t="inlineStr">
        <is>
          <t>China controls 85% supply; BIS certification needed</t>
        </is>
      </c>
    </row>
    <row r="11">
      <c r="B11" s="50" t="inlineStr">
        <is>
          <t>Electrolyte</t>
        </is>
      </c>
      <c r="C11" s="11" t="inlineStr">
        <is>
          <t>Rs/kg</t>
        </is>
      </c>
      <c r="D11" s="51" t="inlineStr">
        <is>
          <t>400</t>
        </is>
      </c>
      <c r="E11" s="51" t="inlineStr">
        <is>
          <t>550</t>
        </is>
      </c>
      <c r="F11" s="51" t="inlineStr">
        <is>
          <t>700</t>
        </is>
      </c>
      <c r="G11" s="54" t="inlineStr">
        <is>
          <t>→ Stable</t>
        </is>
      </c>
      <c r="H11" s="53" t="inlineStr">
        <is>
          <t>Fluorinated solvents; limited Indian production</t>
        </is>
      </c>
    </row>
    <row r="12">
      <c r="B12" s="50" t="inlineStr">
        <is>
          <t>Copper (current collector)</t>
        </is>
      </c>
      <c r="C12" s="11" t="inlineStr">
        <is>
          <t>Rs/kg</t>
        </is>
      </c>
      <c r="D12" s="51" t="inlineStr">
        <is>
          <t>700</t>
        </is>
      </c>
      <c r="E12" s="51" t="inlineStr">
        <is>
          <t>750</t>
        </is>
      </c>
      <c r="F12" s="51" t="inlineStr">
        <is>
          <t>820</t>
        </is>
      </c>
      <c r="G12" s="55" t="inlineStr">
        <is>
          <t>▲ Rising</t>
        </is>
      </c>
      <c r="H12" s="53" t="inlineStr">
        <is>
          <t>MCX-linked; hedge exposure &gt;500kg</t>
        </is>
      </c>
    </row>
    <row r="13">
      <c r="B13" s="50" t="inlineStr">
        <is>
          <t>Aluminium (casing/foil)</t>
        </is>
      </c>
      <c r="C13" s="11" t="inlineStr">
        <is>
          <t>Rs/kg</t>
        </is>
      </c>
      <c r="D13" s="51" t="inlineStr">
        <is>
          <t>200</t>
        </is>
      </c>
      <c r="E13" s="51" t="inlineStr">
        <is>
          <t>225</t>
        </is>
      </c>
      <c r="F13" s="51" t="inlineStr">
        <is>
          <t>260</t>
        </is>
      </c>
      <c r="G13" s="54" t="inlineStr">
        <is>
          <t>→ Stable</t>
        </is>
      </c>
      <c r="H13" s="53" t="inlineStr">
        <is>
          <t>Indian producers: Hindalco, Vedanta</t>
        </is>
      </c>
    </row>
    <row r="14">
      <c r="B14" s="50" t="inlineStr">
        <is>
          <t>Steel (structural)</t>
        </is>
      </c>
      <c r="C14" s="11" t="inlineStr">
        <is>
          <t>Rs/kg</t>
        </is>
      </c>
      <c r="D14" s="51" t="inlineStr">
        <is>
          <t>55</t>
        </is>
      </c>
      <c r="E14" s="51" t="inlineStr">
        <is>
          <t>65</t>
        </is>
      </c>
      <c r="F14" s="51" t="inlineStr">
        <is>
          <t>80</t>
        </is>
      </c>
      <c r="G14" s="54" t="inlineStr">
        <is>
          <t>→ Stable</t>
        </is>
      </c>
      <c r="H14" s="53" t="inlineStr">
        <is>
          <t>SAIL, Tata Steel; domestic sourcing preferred</t>
        </is>
      </c>
    </row>
    <row r="15">
      <c r="B15" s="11" t="n"/>
      <c r="C15" s="11" t="n"/>
      <c r="D15" s="11" t="n"/>
      <c r="E15" s="11" t="n"/>
      <c r="F15" s="11" t="n"/>
      <c r="G15" s="11" t="n"/>
      <c r="H15" s="11" t="n"/>
    </row>
    <row r="16">
      <c r="B16" s="49" t="inlineStr">
        <is>
          <t>BATTERY CELLS &amp; MODULES</t>
        </is>
      </c>
      <c r="C16" s="11" t="n"/>
      <c r="D16" s="11" t="n"/>
      <c r="E16" s="11" t="n"/>
      <c r="F16" s="11" t="n"/>
      <c r="G16" s="11" t="n"/>
      <c r="H16" s="11" t="n"/>
    </row>
    <row r="17">
      <c r="B17" s="50" t="inlineStr">
        <is>
          <t>LFP Prismatic Cell (100Ah)</t>
        </is>
      </c>
      <c r="C17" s="11" t="inlineStr">
        <is>
          <t>Rs/kWh</t>
        </is>
      </c>
      <c r="D17" s="51" t="inlineStr">
        <is>
          <t>10,000</t>
        </is>
      </c>
      <c r="E17" s="51" t="inlineStr">
        <is>
          <t>12,500</t>
        </is>
      </c>
      <c r="F17" s="51" t="inlineStr">
        <is>
          <t>15,000</t>
        </is>
      </c>
      <c r="G17" s="52" t="inlineStr">
        <is>
          <t>▼ Falling</t>
        </is>
      </c>
      <c r="H17" s="53" t="inlineStr">
        <is>
          <t>CATL, BYD, EVE, CALB; BIS cert mandatory from 2025</t>
        </is>
      </c>
    </row>
    <row r="18">
      <c r="B18" s="50" t="inlineStr">
        <is>
          <t>LFP Prismatic Cell (280Ah)</t>
        </is>
      </c>
      <c r="C18" s="11" t="inlineStr">
        <is>
          <t>Rs/kWh</t>
        </is>
      </c>
      <c r="D18" s="51" t="inlineStr">
        <is>
          <t>9,500</t>
        </is>
      </c>
      <c r="E18" s="51" t="inlineStr">
        <is>
          <t>11,500</t>
        </is>
      </c>
      <c r="F18" s="51" t="inlineStr">
        <is>
          <t>14,000</t>
        </is>
      </c>
      <c r="G18" s="52" t="inlineStr">
        <is>
          <t>▼ Falling</t>
        </is>
      </c>
      <c r="H18" s="53" t="inlineStr">
        <is>
          <t>Best $/kWh ratio; ask for 10-yr cycle warranty</t>
        </is>
      </c>
    </row>
    <row r="19">
      <c r="B19" s="50" t="inlineStr">
        <is>
          <t>LFP Battery Module (assembled)</t>
        </is>
      </c>
      <c r="C19" s="11" t="inlineStr">
        <is>
          <t>Rs/kWh</t>
        </is>
      </c>
      <c r="D19" s="51" t="inlineStr">
        <is>
          <t>13,000</t>
        </is>
      </c>
      <c r="E19" s="51" t="inlineStr">
        <is>
          <t>16,000</t>
        </is>
      </c>
      <c r="F19" s="51" t="inlineStr">
        <is>
          <t>20,000</t>
        </is>
      </c>
      <c r="G19" s="52" t="inlineStr">
        <is>
          <t>▼ Falling</t>
        </is>
      </c>
      <c r="H19" s="53" t="inlineStr">
        <is>
          <t>Add ~30% on cell cost for module assembly</t>
        </is>
      </c>
    </row>
    <row r="20">
      <c r="B20" s="50" t="inlineStr">
        <is>
          <t>NMC Cell (high energy)</t>
        </is>
      </c>
      <c r="C20" s="11" t="inlineStr">
        <is>
          <t>Rs/kWh</t>
        </is>
      </c>
      <c r="D20" s="51" t="inlineStr">
        <is>
          <t>14,000</t>
        </is>
      </c>
      <c r="E20" s="51" t="inlineStr">
        <is>
          <t>17,000</t>
        </is>
      </c>
      <c r="F20" s="51" t="inlineStr">
        <is>
          <t>22,000</t>
        </is>
      </c>
      <c r="G20" s="52" t="inlineStr">
        <is>
          <t>▼ Falling</t>
        </is>
      </c>
      <c r="H20" s="53" t="inlineStr">
        <is>
          <t>Higher energy density; thermal risk; avoid for grid</t>
        </is>
      </c>
    </row>
    <row r="21">
      <c r="B21" s="50" t="inlineStr">
        <is>
          <t>Sodium Ion Cell (emerging)</t>
        </is>
      </c>
      <c r="C21" s="11" t="inlineStr">
        <is>
          <t>Rs/kWh</t>
        </is>
      </c>
      <c r="D21" s="51" t="inlineStr">
        <is>
          <t>11,000</t>
        </is>
      </c>
      <c r="E21" s="51" t="inlineStr">
        <is>
          <t>13,000</t>
        </is>
      </c>
      <c r="F21" s="51" t="inlineStr">
        <is>
          <t>16,000</t>
        </is>
      </c>
      <c r="G21" s="52" t="inlineStr">
        <is>
          <t>▼ Falling</t>
        </is>
      </c>
      <c r="H21" s="53" t="inlineStr">
        <is>
          <t>No lithium; watch CATL sodium launch 2025-26</t>
        </is>
      </c>
    </row>
    <row r="22">
      <c r="B22" s="11" t="n"/>
      <c r="C22" s="11" t="n"/>
      <c r="D22" s="11" t="n"/>
      <c r="E22" s="11" t="n"/>
      <c r="F22" s="11" t="n"/>
      <c r="G22" s="11" t="n"/>
      <c r="H22" s="11" t="n"/>
    </row>
    <row r="23">
      <c r="B23" s="49" t="inlineStr">
        <is>
          <t>BALANCE OF SYSTEM</t>
        </is>
      </c>
      <c r="C23" s="11" t="n"/>
      <c r="D23" s="11" t="n"/>
      <c r="E23" s="11" t="n"/>
      <c r="F23" s="11" t="n"/>
      <c r="G23" s="11" t="n"/>
      <c r="H23" s="11" t="n"/>
    </row>
    <row r="24">
      <c r="B24" s="50" t="inlineStr">
        <is>
          <t>Battery Management System (BMS)</t>
        </is>
      </c>
      <c r="C24" s="11" t="inlineStr">
        <is>
          <t>Rs/kWh</t>
        </is>
      </c>
      <c r="D24" s="51" t="inlineStr">
        <is>
          <t>1,200</t>
        </is>
      </c>
      <c r="E24" s="51" t="inlineStr">
        <is>
          <t>1,800</t>
        </is>
      </c>
      <c r="F24" s="51" t="inlineStr">
        <is>
          <t>2,500</t>
        </is>
      </c>
      <c r="G24" s="54" t="inlineStr">
        <is>
          <t>→ Stable</t>
        </is>
      </c>
      <c r="H24" s="53" t="inlineStr">
        <is>
          <t>SOFAR, Dynavolt, Delta; look for UL/IEC certified</t>
        </is>
      </c>
    </row>
    <row r="25">
      <c r="B25" s="50" t="inlineStr">
        <is>
          <t>Power Conversion System (PCS)</t>
        </is>
      </c>
      <c r="C25" s="11" t="inlineStr">
        <is>
          <t>Rs/kW</t>
        </is>
      </c>
      <c r="D25" s="51" t="inlineStr">
        <is>
          <t>8,000</t>
        </is>
      </c>
      <c r="E25" s="51" t="inlineStr">
        <is>
          <t>12,000</t>
        </is>
      </c>
      <c r="F25" s="51" t="inlineStr">
        <is>
          <t>18,000</t>
        </is>
      </c>
      <c r="G25" s="52" t="inlineStr">
        <is>
          <t>▼ Falling</t>
        </is>
      </c>
      <c r="H25" s="53" t="inlineStr">
        <is>
          <t>Sungrow, Huawei, ABB; 500kW+ preferred for scale</t>
        </is>
      </c>
    </row>
    <row r="26">
      <c r="B26" s="50" t="inlineStr">
        <is>
          <t>Energy Management System (EMS)</t>
        </is>
      </c>
      <c r="C26" s="11" t="inlineStr">
        <is>
          <t>Rs Lakhs</t>
        </is>
      </c>
      <c r="D26" s="51" t="inlineStr">
        <is>
          <t>15</t>
        </is>
      </c>
      <c r="E26" s="51" t="inlineStr">
        <is>
          <t>25</t>
        </is>
      </c>
      <c r="F26" s="51" t="inlineStr">
        <is>
          <t>40</t>
        </is>
      </c>
      <c r="G26" s="54" t="inlineStr">
        <is>
          <t>→ Stable</t>
        </is>
      </c>
      <c r="H26" s="53" t="inlineStr">
        <is>
          <t>Custom SCADA preferred; open protocol (Modbus/CAN)</t>
        </is>
      </c>
    </row>
    <row r="27">
      <c r="B27" s="50" t="inlineStr">
        <is>
          <t>DC-DC Converter</t>
        </is>
      </c>
      <c r="C27" s="11" t="inlineStr">
        <is>
          <t>Rs/kW</t>
        </is>
      </c>
      <c r="D27" s="51" t="inlineStr">
        <is>
          <t>3,000</t>
        </is>
      </c>
      <c r="E27" s="51" t="inlineStr">
        <is>
          <t>5,000</t>
        </is>
      </c>
      <c r="F27" s="51" t="inlineStr">
        <is>
          <t>8,000</t>
        </is>
      </c>
      <c r="G27" s="54" t="inlineStr">
        <is>
          <t>→ Stable</t>
        </is>
      </c>
      <c r="H27" s="53" t="inlineStr">
        <is>
          <t>For hybrid AC/DC coupling</t>
        </is>
      </c>
    </row>
    <row r="28">
      <c r="B28" s="50" t="inlineStr">
        <is>
          <t>Transformer (MV)</t>
        </is>
      </c>
      <c r="C28" s="11" t="inlineStr">
        <is>
          <t>Rs/MVA</t>
        </is>
      </c>
      <c r="D28" s="51" t="inlineStr">
        <is>
          <t>8,00,000</t>
        </is>
      </c>
      <c r="E28" s="51" t="inlineStr">
        <is>
          <t>12,00,000</t>
        </is>
      </c>
      <c r="F28" s="51" t="inlineStr">
        <is>
          <t>18,00,000</t>
        </is>
      </c>
      <c r="G28" s="54" t="inlineStr">
        <is>
          <t>→ Stable</t>
        </is>
      </c>
      <c r="H28" s="53" t="inlineStr">
        <is>
          <t>BHEL, Schneider India; 14-16 week lead time</t>
        </is>
      </c>
    </row>
    <row r="29">
      <c r="B29" s="50" t="inlineStr">
        <is>
          <t>Switchgear (33kV)</t>
        </is>
      </c>
      <c r="C29" s="11" t="inlineStr">
        <is>
          <t>Rs Lakhs</t>
        </is>
      </c>
      <c r="D29" s="51" t="inlineStr">
        <is>
          <t>20</t>
        </is>
      </c>
      <c r="E29" s="51" t="inlineStr">
        <is>
          <t>35</t>
        </is>
      </c>
      <c r="F29" s="51" t="inlineStr">
        <is>
          <t>55</t>
        </is>
      </c>
      <c r="G29" s="54" t="inlineStr">
        <is>
          <t>→ Stable</t>
        </is>
      </c>
      <c r="H29" s="53" t="inlineStr">
        <is>
          <t>ABB, Siemens India; utility-grade</t>
        </is>
      </c>
    </row>
    <row r="30">
      <c r="B30" s="50" t="inlineStr">
        <is>
          <t>Fire Suppression System</t>
        </is>
      </c>
      <c r="C30" s="11" t="inlineStr">
        <is>
          <t>Rs Lakhs</t>
        </is>
      </c>
      <c r="D30" s="51" t="inlineStr">
        <is>
          <t>8</t>
        </is>
      </c>
      <c r="E30" s="51" t="inlineStr">
        <is>
          <t>15</t>
        </is>
      </c>
      <c r="F30" s="51" t="inlineStr">
        <is>
          <t>25</t>
        </is>
      </c>
      <c r="G30" s="54" t="inlineStr">
        <is>
          <t>→ Stable</t>
        </is>
      </c>
      <c r="H30" s="53" t="inlineStr">
        <is>
          <t>FM200/Novec; mandatory for BESS enclosure</t>
        </is>
      </c>
    </row>
    <row r="31">
      <c r="B31" s="50" t="inlineStr">
        <is>
          <t>Cooling System (HVAC/liquid)</t>
        </is>
      </c>
      <c r="C31" s="11" t="inlineStr">
        <is>
          <t>Rs/kWh</t>
        </is>
      </c>
      <c r="D31" s="51" t="inlineStr">
        <is>
          <t>800</t>
        </is>
      </c>
      <c r="E31" s="51" t="inlineStr">
        <is>
          <t>1,200</t>
        </is>
      </c>
      <c r="F31" s="51" t="inlineStr">
        <is>
          <t>1,800</t>
        </is>
      </c>
      <c r="G31" s="54" t="inlineStr">
        <is>
          <t>→ Stable</t>
        </is>
      </c>
      <c r="H31" s="53" t="inlineStr">
        <is>
          <t>Liquid cooling adds cost but extends cell life 20%</t>
        </is>
      </c>
    </row>
    <row r="32">
      <c r="B32" s="50" t="inlineStr">
        <is>
          <t>Steel Enclosure/Container</t>
        </is>
      </c>
      <c r="C32" s="11" t="inlineStr">
        <is>
          <t>Rs Lakhs</t>
        </is>
      </c>
      <c r="D32" s="51" t="inlineStr">
        <is>
          <t>25</t>
        </is>
      </c>
      <c r="E32" s="51" t="inlineStr">
        <is>
          <t>40</t>
        </is>
      </c>
      <c r="F32" s="51" t="inlineStr">
        <is>
          <t>60</t>
        </is>
      </c>
      <c r="G32" s="54" t="inlineStr">
        <is>
          <t>→ Stable</t>
        </is>
      </c>
      <c r="H32" s="53" t="inlineStr">
        <is>
          <t>2x40ft containers typical for 1MWh; fireproof rated</t>
        </is>
      </c>
    </row>
    <row r="33">
      <c r="B33" s="11" t="n"/>
      <c r="C33" s="11" t="n"/>
      <c r="D33" s="11" t="n"/>
      <c r="E33" s="11" t="n"/>
      <c r="F33" s="11" t="n"/>
      <c r="G33" s="11" t="n"/>
      <c r="H33" s="11" t="n"/>
    </row>
    <row r="34">
      <c r="B34" s="49" t="inlineStr">
        <is>
          <t>TURNKEY SYSTEM COST</t>
        </is>
      </c>
      <c r="C34" s="11" t="n"/>
      <c r="D34" s="11" t="n"/>
      <c r="E34" s="11" t="n"/>
      <c r="F34" s="11" t="n"/>
      <c r="G34" s="11" t="n"/>
      <c r="H34" s="11" t="n"/>
    </row>
    <row r="35">
      <c r="B35" s="50" t="inlineStr">
        <is>
          <t>BESS System Complete (turnkey)</t>
        </is>
      </c>
      <c r="C35" s="11" t="inlineStr">
        <is>
          <t>Rs/kWh</t>
        </is>
      </c>
      <c r="D35" s="51" t="inlineStr">
        <is>
          <t>15,000</t>
        </is>
      </c>
      <c r="E35" s="51" t="inlineStr">
        <is>
          <t>18,000</t>
        </is>
      </c>
      <c r="F35" s="51" t="inlineStr">
        <is>
          <t>22,000</t>
        </is>
      </c>
      <c r="G35" s="52" t="inlineStr">
        <is>
          <t>▼ Falling</t>
        </is>
      </c>
      <c r="H35" s="53" t="inlineStr">
        <is>
          <t>Includes cells, BMS, PCS, EMS, civil, grid connection</t>
        </is>
      </c>
    </row>
    <row r="36">
      <c r="B36" s="50" t="inlineStr">
        <is>
          <t>Solar Rooftop (turnkey)</t>
        </is>
      </c>
      <c r="C36" s="11" t="inlineStr">
        <is>
          <t>Rs/kW</t>
        </is>
      </c>
      <c r="D36" s="51" t="inlineStr">
        <is>
          <t>35,000</t>
        </is>
      </c>
      <c r="E36" s="51" t="inlineStr">
        <is>
          <t>42,000</t>
        </is>
      </c>
      <c r="F36" s="51" t="inlineStr">
        <is>
          <t>55,000</t>
        </is>
      </c>
      <c r="G36" s="52" t="inlineStr">
        <is>
          <t>▼ Falling</t>
        </is>
      </c>
      <c r="H36" s="53" t="inlineStr">
        <is>
          <t>Mono PERC bifacial; includes mounting, inverter, net meter</t>
        </is>
      </c>
    </row>
    <row r="37">
      <c r="B37" s="50" t="inlineStr">
        <is>
          <t>Solar + BESS Hybrid (turnkey)</t>
        </is>
      </c>
      <c r="C37" s="11" t="inlineStr">
        <is>
          <t>Rs/kWh</t>
        </is>
      </c>
      <c r="D37" s="51" t="inlineStr">
        <is>
          <t>25,000</t>
        </is>
      </c>
      <c r="E37" s="51" t="inlineStr">
        <is>
          <t>30,000</t>
        </is>
      </c>
      <c r="F37" s="51" t="inlineStr">
        <is>
          <t>38,000</t>
        </is>
      </c>
      <c r="G37" s="52" t="inlineStr">
        <is>
          <t>▼ Falling</t>
        </is>
      </c>
      <c r="H37" s="53" t="inlineStr">
        <is>
          <t>Combined system; economies of scale apply</t>
        </is>
      </c>
    </row>
    <row r="40" ht="22" customHeight="1">
      <c r="B40" s="56" t="inlineStr">
        <is>
          <t>B. PROCUREMENT STRATEGY &amp; RECOMMENDATIONS</t>
        </is>
      </c>
    </row>
    <row r="41">
      <c r="B41" s="57" t="inlineStr">
        <is>
          <t>1. SOURCING STRATEGY</t>
        </is>
      </c>
    </row>
    <row r="42">
      <c r="B42" s="58" t="inlineStr">
        <is>
          <t>Direct from Chinese OEMs</t>
        </is>
      </c>
      <c r="C42" s="5" t="inlineStr">
        <is>
          <t>CATL, BYD, EVE, CALB — best $/kWh but need BIS certification. Use freight forwarder with EXIM experience. Min order: 1 MWh.</t>
        </is>
      </c>
    </row>
    <row r="43">
      <c r="B43" s="58" t="inlineStr">
        <is>
          <t>Indian Distributors/Integrators</t>
        </is>
      </c>
      <c r="C43" s="5" t="inlineStr">
        <is>
          <t>Higher cost (+15-20%) but faster delivery, local support. Options: Luminous, Livguard, Epsilon Advanced, BessE (Surat).</t>
        </is>
      </c>
    </row>
    <row r="44">
      <c r="B44" s="58" t="inlineStr">
        <is>
          <t>Hybrid Model (recommended)</t>
        </is>
      </c>
      <c r="C44" s="5" t="inlineStr">
        <is>
          <t>Buy cells direct, source BMS/PCS from Indian-certified vendors. Reduces cost by 10-15% vs full local sourcing.</t>
        </is>
      </c>
    </row>
    <row r="45"/>
    <row r="46">
      <c r="B46" s="57" t="inlineStr">
        <is>
          <t>2. COST REDUCTION LEVERS</t>
        </is>
      </c>
    </row>
    <row r="47">
      <c r="B47" s="58" t="inlineStr">
        <is>
          <t>Volume Aggregation</t>
        </is>
      </c>
      <c r="C47" s="5" t="inlineStr">
        <is>
          <t>Pool 5+ MWh orders across projects. Negotiate 8-12% discount on cells. Form consortium with other developers.</t>
        </is>
      </c>
    </row>
    <row r="48">
      <c r="B48" s="58" t="inlineStr">
        <is>
          <t>Advance Procurement</t>
        </is>
      </c>
      <c r="C48" s="5" t="inlineStr">
        <is>
          <t>Lock in LFP cells 6-9 months before COD when prices are low. Store in bonded warehouse. Savings: 5-15%.</t>
        </is>
      </c>
    </row>
    <row r="49">
      <c r="B49" s="58" t="inlineStr">
        <is>
          <t>Local Assembly</t>
        </is>
      </c>
      <c r="C49" s="5" t="inlineStr">
        <is>
          <t>Import cells, assemble modules locally. Save 18% customs on assembled modules vs full battery pack import.</t>
        </is>
      </c>
    </row>
    <row r="50">
      <c r="B50" s="58" t="inlineStr">
        <is>
          <t>Long-Term Supply Agreement</t>
        </is>
      </c>
      <c r="C50" s="5" t="inlineStr">
        <is>
          <t>3-year agreement with CATL/EVE with price adjustment clause. Protects against supply disruption.</t>
        </is>
      </c>
    </row>
    <row r="51"/>
    <row r="52">
      <c r="B52" s="57" t="inlineStr">
        <is>
          <t>3. QUALITY CHECKLIST</t>
        </is>
      </c>
    </row>
    <row r="53">
      <c r="B53" s="58" t="inlineStr">
        <is>
          <t>BIS Certification (IS 16270)</t>
        </is>
      </c>
      <c r="C53" s="5" t="inlineStr">
        <is>
          <t>Mandatory for cells sold in India from 2025. Verify NABL-certified test reports.</t>
        </is>
      </c>
    </row>
    <row r="54">
      <c r="B54" s="58" t="inlineStr">
        <is>
          <t>IEC 62619 / UL 9540</t>
        </is>
      </c>
      <c r="C54" s="5" t="inlineStr">
        <is>
          <t>International safety standards for stationary BESS. Required for insurance and utility interconnect.</t>
        </is>
      </c>
    </row>
    <row r="55">
      <c r="B55" s="58" t="inlineStr">
        <is>
          <t>Cycle Life Warranty</t>
        </is>
      </c>
      <c r="C55" s="5" t="inlineStr">
        <is>
          <t>Minimum 4000 cycles at 80% DoD retention. Get bankable warranty from manufacturer.</t>
        </is>
      </c>
    </row>
    <row r="56">
      <c r="B56" s="58" t="inlineStr">
        <is>
          <t>Performance Guarantee</t>
        </is>
      </c>
      <c r="C56" s="5" t="inlineStr">
        <is>
          <t>RTE &gt; 92%, availability &gt; 97%. Include liquidated damages in supply contract.</t>
        </is>
      </c>
    </row>
    <row r="57"/>
    <row r="58">
      <c r="B58" s="57" t="inlineStr">
        <is>
          <t>4. KEY CONTACTS / SUPPLIERS (indicative)</t>
        </is>
      </c>
    </row>
    <row r="59">
      <c r="B59" s="58" t="inlineStr">
        <is>
          <t>CATL India Liaison</t>
        </is>
      </c>
      <c r="C59" s="5" t="inlineStr">
        <is>
          <t>catl.com — largest LFP supplier globally. Contact through Rajasthan/Gujarat agents.</t>
        </is>
      </c>
    </row>
    <row r="60">
      <c r="B60" s="58" t="inlineStr">
        <is>
          <t>EVE Energy India</t>
        </is>
      </c>
      <c r="C60" s="5" t="inlineStr">
        <is>
          <t>evebattery.com — competitive pricing, good cycle life warranty</t>
        </is>
      </c>
    </row>
    <row r="61">
      <c r="B61" s="58" t="inlineStr">
        <is>
          <t>Sungrow India (PCS)</t>
        </is>
      </c>
      <c r="C61" s="5" t="inlineStr">
        <is>
          <t>sungrowpower.com — strong service network India, IEC certified</t>
        </is>
      </c>
    </row>
    <row r="62">
      <c r="B62" s="58" t="inlineStr">
        <is>
          <t>BessE, Surat</t>
        </is>
      </c>
      <c r="C62" s="5" t="inlineStr">
        <is>
          <t>Local integrator — good for pilot projects, faster delivery, local support</t>
        </is>
      </c>
    </row>
    <row r="63">
      <c r="B63" s="58" t="inlineStr">
        <is>
          <t>Delta Electronics India (BMS)</t>
        </is>
      </c>
      <c r="C63" s="5" t="inlineStr">
        <is>
          <t>delta.com — strong BMS product line, IEC certified, Indian support</t>
        </is>
      </c>
    </row>
  </sheetData>
  <mergeCells count="27">
    <mergeCell ref="C63:H63"/>
    <mergeCell ref="C47:H47"/>
    <mergeCell ref="C54:H54"/>
    <mergeCell ref="C55:H55"/>
    <mergeCell ref="C50:H50"/>
    <mergeCell ref="C44:H44"/>
    <mergeCell ref="B1:G1"/>
    <mergeCell ref="B6:H6"/>
    <mergeCell ref="C43:H43"/>
    <mergeCell ref="C56:H56"/>
    <mergeCell ref="C59:H59"/>
    <mergeCell ref="C60:H60"/>
    <mergeCell ref="B41:H41"/>
    <mergeCell ref="C61:H61"/>
    <mergeCell ref="B16:H16"/>
    <mergeCell ref="B40:G40"/>
    <mergeCell ref="C48:H48"/>
    <mergeCell ref="B46:H46"/>
    <mergeCell ref="B58:H58"/>
    <mergeCell ref="B52:H52"/>
    <mergeCell ref="C53:H53"/>
    <mergeCell ref="B4:G4"/>
    <mergeCell ref="C49:H49"/>
    <mergeCell ref="B23:H23"/>
    <mergeCell ref="C62:H62"/>
    <mergeCell ref="C42:H42"/>
    <mergeCell ref="B34:H3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G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25" customWidth="1" min="7" max="7"/>
  </cols>
  <sheetData>
    <row r="1">
      <c r="B1" s="8" t="inlineStr">
        <is>
          <t>CAPEX BREAKDOWN — 10 MWh BESS PROJECT</t>
        </is>
      </c>
    </row>
    <row r="3">
      <c r="B3" s="48" t="inlineStr">
        <is>
          <t>Component</t>
        </is>
      </c>
      <c r="C3" s="48" t="inlineStr">
        <is>
          <t>Qty</t>
        </is>
      </c>
      <c r="D3" s="48" t="inlineStr">
        <is>
          <t>Unit Rate (Rs)</t>
        </is>
      </c>
      <c r="E3" s="48" t="inlineStr">
        <is>
          <t>Total (Rs Lakhs)</t>
        </is>
      </c>
      <c r="F3" s="48" t="inlineStr">
        <is>
          <t>% of CapEx</t>
        </is>
      </c>
      <c r="G3" s="48" t="inlineStr">
        <is>
          <t>Remarks</t>
        </is>
      </c>
    </row>
    <row r="4">
      <c r="B4" s="49" t="inlineStr">
        <is>
          <t>BATTERY SYSTEM</t>
        </is>
      </c>
      <c r="C4" s="11" t="n"/>
      <c r="D4" s="11" t="n"/>
      <c r="E4" s="11" t="n"/>
      <c r="F4" s="11" t="n"/>
      <c r="G4" s="11" t="n"/>
    </row>
    <row r="5">
      <c r="B5" s="50" t="inlineStr">
        <is>
          <t xml:space="preserve">  LFP Cells (280Ah, 10 MWh)</t>
        </is>
      </c>
      <c r="C5" s="59" t="inlineStr">
        <is>
          <t>10,000 kWh</t>
        </is>
      </c>
      <c r="D5" s="24" t="inlineStr">
        <is>
          <t>Rs 12,500/kWh</t>
        </is>
      </c>
      <c r="E5" s="60" t="n">
        <v>125</v>
      </c>
      <c r="F5" s="61">
        <f>IF(E36&gt;0,E5/E36,0)</f>
        <v/>
      </c>
      <c r="G5" s="62" t="inlineStr">
        <is>
          <t>Direct import CATL/EVE; incl. BCD 5%</t>
        </is>
      </c>
    </row>
    <row r="6">
      <c r="B6" s="50" t="inlineStr">
        <is>
          <t xml:space="preserve">  Battery Modules (assembly)</t>
        </is>
      </c>
      <c r="C6" s="59" t="inlineStr">
        <is>
          <t>10,000 kWh</t>
        </is>
      </c>
      <c r="D6" s="24" t="inlineStr">
        <is>
          <t>Rs 2,000/kWh</t>
        </is>
      </c>
      <c r="E6" s="60" t="n">
        <v>20</v>
      </c>
      <c r="F6" s="61">
        <f>IF(E36&gt;0,E6/E36,0)</f>
        <v/>
      </c>
      <c r="G6" s="62" t="inlineStr">
        <is>
          <t>Local assembly; reduces import duty</t>
        </is>
      </c>
    </row>
    <row r="7">
      <c r="B7" s="50" t="inlineStr">
        <is>
          <t xml:space="preserve">  Battery Rack &amp; Enclosure</t>
        </is>
      </c>
      <c r="C7" s="59" t="inlineStr">
        <is>
          <t>20 racks</t>
        </is>
      </c>
      <c r="D7" s="24" t="inlineStr">
        <is>
          <t>Rs 0.8L/rack</t>
        </is>
      </c>
      <c r="E7" s="60" t="n">
        <v>16</v>
      </c>
      <c r="F7" s="61">
        <f>IF(E36&gt;0,E7/E36,0)</f>
        <v/>
      </c>
      <c r="G7" s="62" t="inlineStr">
        <is>
          <t>Steel; fire-rated, IP55</t>
        </is>
      </c>
    </row>
    <row r="8">
      <c r="B8" s="50" t="inlineStr">
        <is>
          <t xml:space="preserve">  Battery Management System</t>
        </is>
      </c>
      <c r="C8" s="59" t="inlineStr">
        <is>
          <t>10,000 kWh</t>
        </is>
      </c>
      <c r="D8" s="24" t="inlineStr">
        <is>
          <t>Rs 1,800/kWh</t>
        </is>
      </c>
      <c r="E8" s="60" t="n">
        <v>18</v>
      </c>
      <c r="F8" s="61">
        <f>IF(E36&gt;0,E8/E36,0)</f>
        <v/>
      </c>
      <c r="G8" s="62" t="inlineStr">
        <is>
          <t>Delta/SOFAR; IEC 62619 certified</t>
        </is>
      </c>
    </row>
    <row r="9">
      <c r="B9" s="50" t="inlineStr">
        <is>
          <t xml:space="preserve">  Thermal Management (cooling)</t>
        </is>
      </c>
      <c r="C9" s="59" t="inlineStr">
        <is>
          <t>10,000 kWh</t>
        </is>
      </c>
      <c r="D9" s="24" t="inlineStr">
        <is>
          <t>Rs 1,200/kWh</t>
        </is>
      </c>
      <c r="E9" s="60" t="n">
        <v>12</v>
      </c>
      <c r="F9" s="61">
        <f>IF(E36&gt;0,E9/E36,0)</f>
        <v/>
      </c>
      <c r="G9" s="62" t="inlineStr">
        <is>
          <t>Liquid cooling; extends life 20%</t>
        </is>
      </c>
    </row>
    <row r="10">
      <c r="B10" s="50" t="inlineStr">
        <is>
          <t xml:space="preserve">  Fire Suppression</t>
        </is>
      </c>
      <c r="C10" s="59" t="inlineStr">
        <is>
          <t>2 containers</t>
        </is>
      </c>
      <c r="D10" s="24" t="inlineStr">
        <is>
          <t>Rs 7.5L/unit</t>
        </is>
      </c>
      <c r="E10" s="60" t="n">
        <v>15</v>
      </c>
      <c r="F10" s="61">
        <f>IF(E36&gt;0,E10/E36,0)</f>
        <v/>
      </c>
      <c r="G10" s="62" t="inlineStr">
        <is>
          <t>Novec 1230; mandatory for insurance</t>
        </is>
      </c>
    </row>
    <row r="11">
      <c r="B11" s="49" t="inlineStr">
        <is>
          <t>POWER CONVERSION SYSTEM</t>
        </is>
      </c>
      <c r="C11" s="11" t="n"/>
      <c r="D11" s="11" t="n"/>
      <c r="E11" s="11" t="n"/>
      <c r="F11" s="11" t="n"/>
      <c r="G11" s="11" t="n"/>
    </row>
    <row r="12">
      <c r="B12" s="50" t="inlineStr">
        <is>
          <t xml:space="preserve">  PCS / Bidirectional Inverter</t>
        </is>
      </c>
      <c r="C12" s="59" t="inlineStr">
        <is>
          <t>5 MW</t>
        </is>
      </c>
      <c r="D12" s="24" t="inlineStr">
        <is>
          <t>Rs 12,000/kW</t>
        </is>
      </c>
      <c r="E12" s="60" t="n">
        <v>60</v>
      </c>
      <c r="F12" s="61">
        <f>IF(E36&gt;0,E12/E36,0)</f>
        <v/>
      </c>
      <c r="G12" s="62" t="inlineStr">
        <is>
          <t>Sungrow/Huawei; 4x1250kW units</t>
        </is>
      </c>
    </row>
    <row r="13">
      <c r="B13" s="50" t="inlineStr">
        <is>
          <t xml:space="preserve">  DC-DC Converter</t>
        </is>
      </c>
      <c r="C13" s="59" t="inlineStr">
        <is>
          <t>5 MW</t>
        </is>
      </c>
      <c r="D13" s="24" t="inlineStr">
        <is>
          <t>Rs 4,000/kW</t>
        </is>
      </c>
      <c r="E13" s="60" t="n">
        <v>20</v>
      </c>
      <c r="F13" s="61">
        <f>IF(E36&gt;0,E13/E36,0)</f>
        <v/>
      </c>
      <c r="G13" s="62" t="inlineStr">
        <is>
          <t>For DC bus optimization</t>
        </is>
      </c>
    </row>
    <row r="14">
      <c r="B14" s="49" t="inlineStr">
        <is>
          <t>ENERGY MANAGEMENT</t>
        </is>
      </c>
      <c r="C14" s="11" t="n"/>
      <c r="D14" s="11" t="n"/>
      <c r="E14" s="11" t="n"/>
      <c r="F14" s="11" t="n"/>
      <c r="G14" s="11" t="n"/>
    </row>
    <row r="15">
      <c r="B15" s="50" t="inlineStr">
        <is>
          <t xml:space="preserve">  EMS / SCADA Software</t>
        </is>
      </c>
      <c r="C15" s="59" t="inlineStr">
        <is>
          <t>1 system</t>
        </is>
      </c>
      <c r="D15" s="24" t="inlineStr">
        <is>
          <t>Rs 25L</t>
        </is>
      </c>
      <c r="E15" s="60" t="n">
        <v>25</v>
      </c>
      <c r="F15" s="61">
        <f>IF(E36&gt;0,E15/E36,0)</f>
        <v/>
      </c>
      <c r="G15" s="62" t="inlineStr">
        <is>
          <t>Custom; Modbus/CAN open protocol</t>
        </is>
      </c>
    </row>
    <row r="16">
      <c r="B16" s="50" t="inlineStr">
        <is>
          <t xml:space="preserve">  Remote Monitoring (5yr)</t>
        </is>
      </c>
      <c r="C16" s="59" t="inlineStr">
        <is>
          <t>1 system</t>
        </is>
      </c>
      <c r="D16" s="24" t="inlineStr">
        <is>
          <t>Rs 5L</t>
        </is>
      </c>
      <c r="E16" s="60" t="n">
        <v>5</v>
      </c>
      <c r="F16" s="61">
        <f>IF(E36&gt;0,E16/E36,0)</f>
        <v/>
      </c>
      <c r="G16" s="62" t="inlineStr">
        <is>
          <t>Cloud-based, IoT sensors</t>
        </is>
      </c>
    </row>
    <row r="17">
      <c r="B17" s="49" t="inlineStr">
        <is>
          <t>ELECTRICAL BALANCE</t>
        </is>
      </c>
      <c r="C17" s="11" t="n"/>
      <c r="D17" s="11" t="n"/>
      <c r="E17" s="11" t="n"/>
      <c r="F17" s="11" t="n"/>
      <c r="G17" s="11" t="n"/>
    </row>
    <row r="18">
      <c r="B18" s="50" t="inlineStr">
        <is>
          <t xml:space="preserve">  HV Transformer (33/0.4kV)</t>
        </is>
      </c>
      <c r="C18" s="59" t="inlineStr">
        <is>
          <t>1x5 MVA</t>
        </is>
      </c>
      <c r="D18" s="24" t="inlineStr">
        <is>
          <t>Rs 60L</t>
        </is>
      </c>
      <c r="E18" s="60" t="n">
        <v>60</v>
      </c>
      <c r="F18" s="61">
        <f>IF(E36&gt;0,E18/E36,0)</f>
        <v/>
      </c>
      <c r="G18" s="62" t="inlineStr">
        <is>
          <t>BHEL/ABB; 14-week lead time</t>
        </is>
      </c>
    </row>
    <row r="19">
      <c r="B19" s="50" t="inlineStr">
        <is>
          <t xml:space="preserve">  Switchgear &amp; Protection</t>
        </is>
      </c>
      <c r="C19" s="59" t="inlineStr">
        <is>
          <t>1 lot</t>
        </is>
      </c>
      <c r="D19" s="24" t="inlineStr">
        <is>
          <t>Rs 35L</t>
        </is>
      </c>
      <c r="E19" s="60" t="n">
        <v>35</v>
      </c>
      <c r="F19" s="61">
        <f>IF(E36&gt;0,E19/E36,0)</f>
        <v/>
      </c>
      <c r="G19" s="62" t="inlineStr">
        <is>
          <t>Schneider/ABB; with protection relay</t>
        </is>
      </c>
    </row>
    <row r="20">
      <c r="B20" s="50" t="inlineStr">
        <is>
          <t xml:space="preserve">  DC &amp; AC Cables</t>
        </is>
      </c>
      <c r="C20" s="59" t="inlineStr">
        <is>
          <t>1 lot</t>
        </is>
      </c>
      <c r="D20" s="24" t="inlineStr">
        <is>
          <t>Rs 20L</t>
        </is>
      </c>
      <c r="E20" s="60" t="n">
        <v>20</v>
      </c>
      <c r="F20" s="61">
        <f>IF(E36&gt;0,E20/E36,0)</f>
        <v/>
      </c>
      <c r="G20" s="62" t="inlineStr">
        <is>
          <t>Copper; AL for long runs</t>
        </is>
      </c>
    </row>
    <row r="21">
      <c r="B21" s="50" t="inlineStr">
        <is>
          <t xml:space="preserve">  Metering &amp; CT/PT</t>
        </is>
      </c>
      <c r="C21" s="59" t="inlineStr">
        <is>
          <t>1 lot</t>
        </is>
      </c>
      <c r="D21" s="24" t="inlineStr">
        <is>
          <t>Rs 8L</t>
        </is>
      </c>
      <c r="E21" s="60" t="n">
        <v>8</v>
      </c>
      <c r="F21" s="61">
        <f>IF(E36&gt;0,E21/E36,0)</f>
        <v/>
      </c>
      <c r="G21" s="62" t="inlineStr">
        <is>
          <t>Revenue-grade; DLMS compliant</t>
        </is>
      </c>
    </row>
    <row r="22">
      <c r="B22" s="49" t="inlineStr">
        <is>
          <t>CIVIL &amp; STRUCTURAL</t>
        </is>
      </c>
      <c r="C22" s="11" t="n"/>
      <c r="D22" s="11" t="n"/>
      <c r="E22" s="11" t="n"/>
      <c r="F22" s="11" t="n"/>
      <c r="G22" s="11" t="n"/>
    </row>
    <row r="23">
      <c r="B23" s="50" t="inlineStr">
        <is>
          <t xml:space="preserve">  Civil Works (foundation)</t>
        </is>
      </c>
      <c r="C23" s="59" t="inlineStr">
        <is>
          <t>1 lot</t>
        </is>
      </c>
      <c r="D23" s="24" t="inlineStr">
        <is>
          <t>Rs 25L</t>
        </is>
      </c>
      <c r="E23" s="60" t="n">
        <v>25</v>
      </c>
      <c r="F23" s="61">
        <f>IF(E36&gt;0,E23/E36,0)</f>
        <v/>
      </c>
      <c r="G23" s="62" t="inlineStr">
        <is>
          <t>RCC pad; cable trenches; drainage</t>
        </is>
      </c>
    </row>
    <row r="24">
      <c r="B24" s="50" t="inlineStr">
        <is>
          <t xml:space="preserve">  Structural Steel</t>
        </is>
      </c>
      <c r="C24" s="59" t="inlineStr">
        <is>
          <t>1 lot</t>
        </is>
      </c>
      <c r="D24" s="24" t="inlineStr">
        <is>
          <t>Rs 15L</t>
        </is>
      </c>
      <c r="E24" s="60" t="n">
        <v>15</v>
      </c>
      <c r="F24" s="61">
        <f>IF(E36&gt;0,E24/E36,0)</f>
        <v/>
      </c>
      <c r="G24" s="62" t="inlineStr">
        <is>
          <t>Module mounting, cable tray</t>
        </is>
      </c>
    </row>
    <row r="25">
      <c r="B25" s="50" t="inlineStr">
        <is>
          <t xml:space="preserve">  Boundary Wall &amp; Security</t>
        </is>
      </c>
      <c r="C25" s="59" t="inlineStr">
        <is>
          <t>1 lot</t>
        </is>
      </c>
      <c r="D25" s="24" t="inlineStr">
        <is>
          <t>Rs 10L</t>
        </is>
      </c>
      <c r="E25" s="60" t="n">
        <v>10</v>
      </c>
      <c r="F25" s="61">
        <f>IF(E36&gt;0,E25/E36,0)</f>
        <v/>
      </c>
      <c r="G25" s="62" t="inlineStr">
        <is>
          <t>CCTV, access control</t>
        </is>
      </c>
    </row>
    <row r="26">
      <c r="B26" s="49" t="inlineStr">
        <is>
          <t>GRID CONNECTION</t>
        </is>
      </c>
      <c r="C26" s="11" t="n"/>
      <c r="D26" s="11" t="n"/>
      <c r="E26" s="11" t="n"/>
      <c r="F26" s="11" t="n"/>
      <c r="G26" s="11" t="n"/>
    </row>
    <row r="27">
      <c r="B27" s="50" t="inlineStr">
        <is>
          <t xml:space="preserve">  SLDC/DISCOM Approval</t>
        </is>
      </c>
      <c r="C27" s="59" t="inlineStr">
        <is>
          <t>1 lot</t>
        </is>
      </c>
      <c r="D27" s="24" t="inlineStr">
        <is>
          <t>Rs 20L</t>
        </is>
      </c>
      <c r="E27" s="60" t="n">
        <v>20</v>
      </c>
      <c r="F27" s="61">
        <f>IF(E36&gt;0,E27/E36,0)</f>
        <v/>
      </c>
      <c r="G27" s="62" t="inlineStr">
        <is>
          <t>Application, SLD, DPR charges</t>
        </is>
      </c>
    </row>
    <row r="28">
      <c r="B28" s="50" t="inlineStr">
        <is>
          <t xml:space="preserve">  Metering Point (PGCIL)</t>
        </is>
      </c>
      <c r="C28" s="59" t="inlineStr">
        <is>
          <t>1 lot</t>
        </is>
      </c>
      <c r="D28" s="24" t="inlineStr">
        <is>
          <t>Rs 15L</t>
        </is>
      </c>
      <c r="E28" s="60" t="n">
        <v>15</v>
      </c>
      <c r="F28" s="61">
        <f>IF(E36&gt;0,E28/E36,0)</f>
        <v/>
      </c>
      <c r="G28" s="62" t="inlineStr">
        <is>
          <t>Point of injection metering</t>
        </is>
      </c>
    </row>
    <row r="29">
      <c r="B29" s="50" t="inlineStr">
        <is>
          <t xml:space="preserve">  Grid Line (if applicable)</t>
        </is>
      </c>
      <c r="C29" s="59" t="inlineStr">
        <is>
          <t>0 km</t>
        </is>
      </c>
      <c r="D29" s="24" t="inlineStr">
        <is>
          <t>Rs 0</t>
        </is>
      </c>
      <c r="E29" s="60" t="n">
        <v>0</v>
      </c>
      <c r="F29" s="11" t="n"/>
      <c r="G29" s="62" t="inlineStr">
        <is>
          <t>Adjust if evacuation line needed</t>
        </is>
      </c>
    </row>
    <row r="30">
      <c r="B30" s="49" t="inlineStr">
        <is>
          <t>PROJECT DEVELOPMENT</t>
        </is>
      </c>
      <c r="C30" s="11" t="n"/>
      <c r="D30" s="11" t="n"/>
      <c r="E30" s="11" t="n"/>
      <c r="F30" s="11" t="n"/>
      <c r="G30" s="11" t="n"/>
    </row>
    <row r="31">
      <c r="B31" s="50" t="inlineStr">
        <is>
          <t xml:space="preserve">  Land (lease or purchase)</t>
        </is>
      </c>
      <c r="C31" s="59" t="inlineStr">
        <is>
          <t>500 sqm</t>
        </is>
      </c>
      <c r="D31" s="24" t="inlineStr">
        <is>
          <t>Rs 0.02L/sqm</t>
        </is>
      </c>
      <c r="E31" s="60" t="n">
        <v>10</v>
      </c>
      <c r="F31" s="61">
        <f>IF(E36&gt;0,E31/E36,0)</f>
        <v/>
      </c>
      <c r="G31" s="62" t="inlineStr">
        <is>
          <t>Or Rs 3L/yr lease — enter separately</t>
        </is>
      </c>
    </row>
    <row r="32">
      <c r="B32" s="50" t="inlineStr">
        <is>
          <t xml:space="preserve">  Technical Consultancy</t>
        </is>
      </c>
      <c r="C32" s="59" t="inlineStr">
        <is>
          <t>1 lot</t>
        </is>
      </c>
      <c r="D32" s="24" t="inlineStr">
        <is>
          <t>Rs 8L</t>
        </is>
      </c>
      <c r="E32" s="60" t="n">
        <v>8</v>
      </c>
      <c r="F32" s="61">
        <f>IF(E36&gt;0,E32/E36,0)</f>
        <v/>
      </c>
      <c r="G32" s="62" t="inlineStr">
        <is>
          <t>DPR, feasibility, lender engineer</t>
        </is>
      </c>
    </row>
    <row r="33">
      <c r="B33" s="50" t="inlineStr">
        <is>
          <t xml:space="preserve">  Legal &amp; Regulatory</t>
        </is>
      </c>
      <c r="C33" s="59" t="inlineStr">
        <is>
          <t>1 lot</t>
        </is>
      </c>
      <c r="D33" s="24" t="inlineStr">
        <is>
          <t>Rs 5L</t>
        </is>
      </c>
      <c r="E33" s="60" t="n">
        <v>5</v>
      </c>
      <c r="F33" s="61">
        <f>IF(E36&gt;0,E33/E36,0)</f>
        <v/>
      </c>
      <c r="G33" s="62" t="inlineStr">
        <is>
          <t>PPA drafting, CERC filing</t>
        </is>
      </c>
    </row>
    <row r="34">
      <c r="B34" s="50" t="inlineStr">
        <is>
          <t xml:space="preserve">  Testing &amp; Commissioning</t>
        </is>
      </c>
      <c r="C34" s="59" t="inlineStr">
        <is>
          <t>1 lot</t>
        </is>
      </c>
      <c r="D34" s="24" t="inlineStr">
        <is>
          <t>Rs 15L</t>
        </is>
      </c>
      <c r="E34" s="60" t="n">
        <v>15</v>
      </c>
      <c r="F34" s="61">
        <f>IF(E36&gt;0,E34/E36,0)</f>
        <v/>
      </c>
      <c r="G34" s="62" t="inlineStr">
        <is>
          <t>FAT at factory, SAT on site</t>
        </is>
      </c>
    </row>
    <row r="35">
      <c r="B35" s="50" t="inlineStr">
        <is>
          <t xml:space="preserve">  CONTINGENCY (5%)</t>
        </is>
      </c>
      <c r="C35" s="59" t="inlineStr"/>
      <c r="D35" s="24" t="inlineStr"/>
      <c r="E35" s="63">
        <f>SUM(E5:E34)*0.05</f>
        <v/>
      </c>
      <c r="F35" s="61">
        <f>IF(E36&gt;0,E35/E36,0)</f>
        <v/>
      </c>
      <c r="G35" s="62" t="inlineStr">
        <is>
          <t>5% of above total</t>
        </is>
      </c>
    </row>
    <row r="36">
      <c r="B36" s="64" t="inlineStr">
        <is>
          <t>TOTAL PROJECT CAPEX</t>
        </is>
      </c>
      <c r="C36" s="11" t="n"/>
      <c r="D36" s="11" t="n"/>
      <c r="E36" s="65">
        <f>SUM(E5:E35)</f>
        <v/>
      </c>
      <c r="F36" s="11" t="n"/>
      <c r="G36" s="66" t="inlineStr">
        <is>
          <t>Rs Lakhs (update unit rates for project-specific pricing)</t>
        </is>
      </c>
    </row>
  </sheetData>
  <mergeCells count="9">
    <mergeCell ref="B36:D36"/>
    <mergeCell ref="B22:G22"/>
    <mergeCell ref="B14:G14"/>
    <mergeCell ref="B17:G17"/>
    <mergeCell ref="B1:G1"/>
    <mergeCell ref="B4:G4"/>
    <mergeCell ref="B26:G26"/>
    <mergeCell ref="B30:G30"/>
    <mergeCell ref="B11:G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2026-04-01T06:08:19Z</dcterms:created>
  <dcterms:modified xmlns:dcterms="http://purl.org/dc/terms/" xmlns:xsi="http://www.w3.org/2001/XMLSchema-instance" xsi:type="dcterms:W3CDTF">2026-04-01T06:08:20Z</dcterms:modified>
</cp:coreProperties>
</file>